
<file path=[Content_Types].xml><?xml version="1.0" encoding="utf-8"?>
<Types xmlns="http://schemas.openxmlformats.org/package/2006/content-types">
  <Default Extension="xml" ContentType="application/xml"/>
  <Default Extension="rels" ContentType="application/vnd.openxmlformats-package.relationships+xml"/>
  <Default Extension="jpeg" ContentType="image/jpg"/>
  <Default Extension="png" ContentType="image/png"/>
  <Default Extension="bmp" ContentType="image/bmp"/>
  <Default Extension="gif" ContentType="image/gif"/>
  <Default Extension="tif" ContentType="image/tif"/>
  <Default Extension="pdf" ContentType="application/pdf"/>
  <Default Extension="mov" ContentType="application/movie"/>
  <Default Extension="vml" ContentType="application/vnd.openxmlformats-officedocument.vmlDrawing"/>
  <Default Extension="xlsx" ContentType="application/vnd.openxmlformats-officedocument.spreadsheetml.sheet"/>
  <Override PartName="/docProps/core.xml" ContentType="application/vnd.openxmlformats-package.core-properties+xml"/>
  <Override PartName="/docProps/app.xml" ContentType="application/vnd.openxmlformats-officedocument.extended-properties+xml"/>
  <Override PartName="/xl/workbook.xml" ContentType="application/vnd.openxmlformats-officedocument.spreadsheetml.sheet.main+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drawings/drawing1.xml" ContentType="application/vnd.openxmlformats-officedocument.drawing+xml"/>
  <Override PartName="/xl/media/image1.jpeg" ContentType="image/jpeg"/>
  <Override PartName="/xl/drawings/drawing2.xml" ContentType="application/vnd.openxmlformats-officedocument.drawing+xml"/>
</Types>
</file>

<file path=_rels/.rels><?xml version="1.0" encoding="UTF-8" standalone="yes"?><Relationships xmlns="http://schemas.openxmlformats.org/package/2006/relationships"><Relationship Id="rId1" Type="http://schemas.openxmlformats.org/package/2006/relationships/metadata/core-properties" Target="docProps/core.xml"/><Relationship Id="rId2" Type="http://schemas.openxmlformats.org/officeDocument/2006/relationships/extended-properties" Target="docProps/app.xml"/><Relationship Id="rId3" Type="http://schemas.openxmlformats.org/officeDocument/2006/relationships/officeDocument" Target="xl/workbook.xml"/></Relationships>

</file>

<file path=xl/workbook.xml><?xml version="1.0" encoding="utf-8"?>
<workbook xmlns:r="http://schemas.openxmlformats.org/officeDocument/2006/relationships" xmlns="http://schemas.openxmlformats.org/spreadsheetml/2006/main">
  <bookViews>
    <workbookView xWindow="0" yWindow="40" windowWidth="15960" windowHeight="18080"/>
  </bookViews>
  <sheets>
    <sheet name="Pricing Calculator" sheetId="1" r:id="rId4"/>
    <sheet name="Instructions" sheetId="2" r:id="rId5"/>
    <sheet name="DATA" sheetId="3" r:id="rId6"/>
    <sheet name="SET.Spirits" sheetId="4" r:id="rId7"/>
    <sheet name="SET.WINE" sheetId="5" r:id="rId8"/>
    <sheet name="RETAIL.TAX" sheetId="6" r:id="rId9"/>
  </sheets>
</workbook>
</file>

<file path=xl/sharedStrings.xml><?xml version="1.0" encoding="utf-8"?>
<sst xmlns="http://schemas.openxmlformats.org/spreadsheetml/2006/main" uniqueCount="155">
  <si>
    <t>INTRODUCTION</t>
  </si>
  <si>
    <t xml:space="preserve">Consumer shelf price is automatically calculated based upon user inputs (enter user defined values in green cells; orange text is a calculaton based upon your input).  </t>
  </si>
  <si>
    <t>BACKGROUND ASSUMPTIONS</t>
  </si>
  <si>
    <t>Brand Information</t>
  </si>
  <si>
    <t>Container size (ml)</t>
  </si>
  <si>
    <t>Enter information in green cells</t>
  </si>
  <si>
    <t>ABV</t>
  </si>
  <si>
    <t>Case Size (number bottles)</t>
  </si>
  <si>
    <t>Type</t>
  </si>
  <si>
    <t>Wine - Still</t>
  </si>
  <si>
    <t>State Entering</t>
  </si>
  <si>
    <t>General</t>
  </si>
  <si>
    <t>PRICING INFORMATION - BY THE BOTTLE AND CASE</t>
  </si>
  <si>
    <t>Pricing Information</t>
  </si>
  <si>
    <t>Bottle</t>
  </si>
  <si>
    <t>Case</t>
  </si>
  <si>
    <t>COGS</t>
  </si>
  <si>
    <t>Federal Excise Tax (FET)</t>
  </si>
  <si>
    <t>TOTAL: Production COST</t>
  </si>
  <si>
    <t>Supplier/Importer Sales Margins</t>
  </si>
  <si>
    <t>Profit (as % of FOB Price)</t>
  </si>
  <si>
    <t>TOTAL: per unit PROFIT</t>
  </si>
  <si>
    <t>FOB Price to Wholesaler</t>
  </si>
  <si>
    <t>Wholesale Level Information</t>
  </si>
  <si>
    <t>Wholesaler mark-up (as percentage)</t>
  </si>
  <si>
    <t>Shipping to wholesaler, est.</t>
  </si>
  <si>
    <t>State-Level Tax Information</t>
  </si>
  <si>
    <t>State Taxes (Excise etc.)</t>
  </si>
  <si>
    <t>TOTAL: FOB to Retail</t>
  </si>
  <si>
    <t>Retail Level Information</t>
  </si>
  <si>
    <t>Retailer mark-up (as percentage)</t>
  </si>
  <si>
    <t>Retail Tailer Tax Information, if relevant</t>
  </si>
  <si>
    <t>On- or Off-Premise</t>
  </si>
  <si>
    <t>IGNORE</t>
  </si>
  <si>
    <t>On- or Off-Premise Retail Tax</t>
  </si>
  <si>
    <t>CONSUMER SHELF PRICE (ESTIMATED)</t>
  </si>
  <si>
    <t>Consumer Shelf Price (estimated)</t>
  </si>
  <si>
    <t>This document is intended to provide an overview for states across the country. It is not intended to provide specific advice. All information is provided 'as is' and without warranties. Certain information, especially regarding control states and their mandated markups, is not included. All information may change over time.</t>
  </si>
  <si>
    <t>INPUTING INFORMATION AND VALUES</t>
  </si>
  <si>
    <t>TYPE</t>
  </si>
  <si>
    <t>Spirits</t>
  </si>
  <si>
    <t>Wine - Sparkling</t>
  </si>
  <si>
    <t>FET</t>
  </si>
  <si>
    <t>750ml @ 40% ABV</t>
  </si>
  <si>
    <t>ABV:</t>
  </si>
  <si>
    <t>Tax based upon  1 L</t>
  </si>
  <si>
    <t>Assumes &gt;24% ABV taxed as a spirit</t>
  </si>
  <si>
    <t>Naturally</t>
  </si>
  <si>
    <t>Artificially</t>
  </si>
  <si>
    <t>Sparkling Wines</t>
  </si>
  <si>
    <t>Retail Tax</t>
  </si>
  <si>
    <t>On-Premise</t>
  </si>
  <si>
    <t>Off-Premise</t>
  </si>
  <si>
    <t>State Selection Grid</t>
  </si>
  <si>
    <t>AK</t>
  </si>
  <si>
    <t>AL</t>
  </si>
  <si>
    <t>AR</t>
  </si>
  <si>
    <t>AZ</t>
  </si>
  <si>
    <t>CA</t>
  </si>
  <si>
    <t>CO</t>
  </si>
  <si>
    <t>CT</t>
  </si>
  <si>
    <t>DC</t>
  </si>
  <si>
    <t>DE</t>
  </si>
  <si>
    <t>FL</t>
  </si>
  <si>
    <t>GA</t>
  </si>
  <si>
    <t>HI</t>
  </si>
  <si>
    <t>IA</t>
  </si>
  <si>
    <t>ID</t>
  </si>
  <si>
    <t>IL</t>
  </si>
  <si>
    <t>IL - Chicago</t>
  </si>
  <si>
    <t>IL - Cook County</t>
  </si>
  <si>
    <t>IN</t>
  </si>
  <si>
    <t>KS</t>
  </si>
  <si>
    <t>KY</t>
  </si>
  <si>
    <t>LA</t>
  </si>
  <si>
    <t>MA</t>
  </si>
  <si>
    <t>MD</t>
  </si>
  <si>
    <t>ME</t>
  </si>
  <si>
    <t>MI</t>
  </si>
  <si>
    <t>MN</t>
  </si>
  <si>
    <t>MO</t>
  </si>
  <si>
    <t>MS</t>
  </si>
  <si>
    <t>MT</t>
  </si>
  <si>
    <t>NC</t>
  </si>
  <si>
    <t>ND</t>
  </si>
  <si>
    <t>NE</t>
  </si>
  <si>
    <t>NH</t>
  </si>
  <si>
    <t>NJ</t>
  </si>
  <si>
    <t>NM</t>
  </si>
  <si>
    <t>NV</t>
  </si>
  <si>
    <t>NY</t>
  </si>
  <si>
    <t>NY - NYC</t>
  </si>
  <si>
    <t>OH</t>
  </si>
  <si>
    <t>OK</t>
  </si>
  <si>
    <t>OR</t>
  </si>
  <si>
    <t>PA</t>
  </si>
  <si>
    <t>RI</t>
  </si>
  <si>
    <t>SC</t>
  </si>
  <si>
    <t>SD</t>
  </si>
  <si>
    <t>TN</t>
  </si>
  <si>
    <t>TX</t>
  </si>
  <si>
    <t>UT</t>
  </si>
  <si>
    <t>VA</t>
  </si>
  <si>
    <t>VT</t>
  </si>
  <si>
    <t>WA</t>
  </si>
  <si>
    <t>WI</t>
  </si>
  <si>
    <t>WV</t>
  </si>
  <si>
    <t>WY</t>
  </si>
  <si>
    <t>SPIRITS - STATE EXCISE TAX</t>
  </si>
  <si>
    <t>DATA</t>
  </si>
  <si>
    <t>Size</t>
  </si>
  <si>
    <t>Bottles/Case</t>
  </si>
  <si>
    <t>FOB/Bottle</t>
  </si>
  <si>
    <t>Conversion</t>
  </si>
  <si>
    <t>Gallon</t>
  </si>
  <si>
    <t>Liters</t>
  </si>
  <si>
    <t>Tax by % ABV and per Gallon</t>
  </si>
  <si>
    <t>SET by State</t>
  </si>
  <si>
    <t>Control State</t>
  </si>
  <si>
    <t>Tax per Bottle</t>
  </si>
  <si>
    <t>Tax per gallon</t>
  </si>
  <si>
    <t>Bottle Tax</t>
  </si>
  <si>
    <t>Case Tax</t>
  </si>
  <si>
    <t>Wholesale TAX/Surcharge TAX</t>
  </si>
  <si>
    <t>LOCAL TAX</t>
  </si>
  <si>
    <t>NOTES</t>
  </si>
  <si>
    <t>CONTROL</t>
  </si>
  <si>
    <t>Unclear what it would be for over 21% ABV</t>
  </si>
  <si>
    <t>If over 50% then its 4.05 per proof gallon, not reg gallon</t>
  </si>
  <si>
    <t>Bottle Tax does not apply to Minitures</t>
  </si>
  <si>
    <t>NY - New York City</t>
  </si>
  <si>
    <t>Median</t>
  </si>
  <si>
    <t>WINE - STATE EXCISE TAX</t>
  </si>
  <si>
    <t>SPARKLING WINES</t>
  </si>
  <si>
    <t>STILL WINES</t>
  </si>
  <si>
    <t>Tax per Gallon</t>
  </si>
  <si>
    <r>
      <rPr>
        <sz val="12"/>
        <color indexed="20"/>
        <rFont val="Calibri"/>
      </rPr>
      <t>CONTROL</t>
    </r>
  </si>
  <si>
    <t>Increases to .3 over 20% (def increases but unclear at what break - assume same as state)</t>
  </si>
  <si>
    <t>Bottle tax except minitures</t>
  </si>
  <si>
    <t>Vermouth - $1.08</t>
  </si>
  <si>
    <t>State Level Retail Taxes - Where Applicable</t>
  </si>
  <si>
    <t>to retail</t>
  </si>
  <si>
    <t>On/Off</t>
  </si>
  <si>
    <r>
      <rPr>
        <sz val="12"/>
        <color indexed="20"/>
        <rFont val="Calibri"/>
      </rPr>
      <t>IGNORE</t>
    </r>
  </si>
  <si>
    <t>OZ</t>
  </si>
  <si>
    <t>ml</t>
  </si>
  <si>
    <t>TAXES per BOTTLE</t>
  </si>
  <si>
    <t>Wine</t>
  </si>
  <si>
    <t>REPORT</t>
  </si>
  <si>
    <t>TAX to REPORT</t>
  </si>
  <si>
    <t>Off-Pre TAX</t>
  </si>
  <si>
    <t>Percent</t>
  </si>
  <si>
    <t>On-Pre TAX</t>
  </si>
  <si>
    <t>Per ml</t>
  </si>
  <si>
    <t>1/bottke on</t>
  </si>
</sst>
</file>

<file path=xl/styles.xml><?xml version="1.0" encoding="utf-8"?>
<styleSheet xmlns="http://schemas.openxmlformats.org/spreadsheetml/2006/main">
  <numFmts count="10">
    <numFmt numFmtId="0" formatCode="General"/>
    <numFmt numFmtId="59" formatCode="0.0%"/>
    <numFmt numFmtId="60" formatCode="&quot; &quot;&quot;$&quot;* #,##0.00&quot; &quot;;&quot; &quot;&quot;$&quot;* (#,##0.00);&quot; &quot;&quot;$&quot;* &quot;-&quot;??&quot; &quot;"/>
    <numFmt numFmtId="61" formatCode="&quot;$&quot;#,##0.00"/>
    <numFmt numFmtId="62" formatCode="&quot;$&quot;#,##0.0000000"/>
    <numFmt numFmtId="63" formatCode="&quot;$&quot;#,##0.000"/>
    <numFmt numFmtId="64" formatCode="0.000%"/>
    <numFmt numFmtId="65" formatCode="&quot;$&quot;#,##0.000000"/>
    <numFmt numFmtId="66" formatCode="&quot;$&quot;#,##0.0000"/>
    <numFmt numFmtId="67" formatCode="0.000000"/>
  </numFmts>
  <fonts count="28">
    <font>
      <sz val="12"/>
      <color indexed="8"/>
      <name val="Verdana"/>
    </font>
    <font>
      <sz val="12"/>
      <color indexed="8"/>
      <name val="Helvetica"/>
    </font>
    <font>
      <sz val="28"/>
      <color indexed="9"/>
      <name val="Gill Sans Light"/>
    </font>
    <font>
      <sz val="11"/>
      <color indexed="8"/>
      <name val="Calibri"/>
    </font>
    <font>
      <sz val="14"/>
      <color indexed="10"/>
      <name val="Eames Century Modern Light"/>
    </font>
    <font>
      <sz val="12"/>
      <color indexed="8"/>
      <name val="Calibri"/>
    </font>
    <font>
      <sz val="15"/>
      <color indexed="8"/>
      <name val="Calibri"/>
    </font>
    <font>
      <sz val="12"/>
      <color indexed="8"/>
      <name val="Gill Sans Light"/>
    </font>
    <font>
      <sz val="12"/>
      <color indexed="8"/>
      <name val="Eames Century Modern Medium"/>
    </font>
    <font>
      <sz val="12"/>
      <color indexed="12"/>
      <name val="Gill Sans Light"/>
    </font>
    <font>
      <sz val="12"/>
      <color indexed="13"/>
      <name val="Gill Sans Light"/>
    </font>
    <font>
      <sz val="12"/>
      <color indexed="15"/>
      <name val="Gill Sans Light"/>
    </font>
    <font>
      <sz val="8"/>
      <color indexed="14"/>
      <name val="Gill Sans Light"/>
    </font>
    <font>
      <sz val="12"/>
      <color indexed="20"/>
      <name val="Gill Sans Light"/>
    </font>
    <font>
      <sz val="12"/>
      <color indexed="19"/>
      <name val="Gill Sans Light"/>
    </font>
    <font>
      <sz val="12"/>
      <color indexed="8"/>
      <name val="Century Gothic"/>
    </font>
    <font>
      <sz val="10"/>
      <color indexed="21"/>
      <name val="Gill Sans Light"/>
    </font>
    <font>
      <b val="1"/>
      <sz val="12"/>
      <color indexed="8"/>
      <name val="Calibri"/>
    </font>
    <font>
      <i val="1"/>
      <sz val="12"/>
      <color indexed="14"/>
      <name val="Calibri"/>
    </font>
    <font>
      <i val="1"/>
      <sz val="12"/>
      <color indexed="8"/>
      <name val="Calibri"/>
    </font>
    <font>
      <b val="1"/>
      <sz val="20"/>
      <color indexed="8"/>
      <name val="Calibri"/>
    </font>
    <font>
      <sz val="20"/>
      <color indexed="8"/>
      <name val="Calibri"/>
    </font>
    <font>
      <sz val="12"/>
      <color indexed="20"/>
      <name val="Calibri"/>
    </font>
    <font>
      <sz val="12"/>
      <color indexed="24"/>
      <name val="Calibri"/>
    </font>
    <font>
      <b val="1"/>
      <sz val="12"/>
      <color indexed="20"/>
      <name val="Calibri"/>
    </font>
    <font>
      <sz val="12"/>
      <color indexed="15"/>
      <name val="Calibri"/>
    </font>
    <font>
      <sz val="12"/>
      <color indexed="19"/>
      <name val="Calibri"/>
    </font>
    <font>
      <sz val="12"/>
      <color indexed="29"/>
      <name val="Calibri"/>
    </font>
  </fonts>
  <fills count="14">
    <fill>
      <patternFill patternType="none"/>
    </fill>
    <fill>
      <patternFill patternType="gray125"/>
    </fill>
    <fill>
      <patternFill patternType="solid">
        <fgColor indexed="16"/>
        <bgColor auto="1"/>
      </patternFill>
    </fill>
    <fill>
      <patternFill patternType="solid">
        <fgColor indexed="9"/>
        <bgColor auto="1"/>
      </patternFill>
    </fill>
    <fill>
      <patternFill patternType="solid">
        <fgColor indexed="18"/>
        <bgColor auto="1"/>
      </patternFill>
    </fill>
    <fill>
      <patternFill patternType="solid">
        <fgColor indexed="22"/>
        <bgColor auto="1"/>
      </patternFill>
    </fill>
    <fill>
      <patternFill patternType="solid">
        <fgColor indexed="24"/>
        <bgColor auto="1"/>
      </patternFill>
    </fill>
    <fill>
      <patternFill patternType="solid">
        <fgColor indexed="25"/>
        <bgColor auto="1"/>
      </patternFill>
    </fill>
    <fill>
      <patternFill patternType="solid">
        <fgColor indexed="26"/>
        <bgColor auto="1"/>
      </patternFill>
    </fill>
    <fill>
      <patternFill patternType="solid">
        <fgColor indexed="27"/>
        <bgColor auto="1"/>
      </patternFill>
    </fill>
    <fill>
      <patternFill patternType="solid">
        <fgColor indexed="28"/>
        <bgColor auto="1"/>
      </patternFill>
    </fill>
    <fill>
      <patternFill patternType="solid">
        <fgColor indexed="30"/>
        <bgColor auto="1"/>
      </patternFill>
    </fill>
    <fill>
      <patternFill patternType="solid">
        <fgColor indexed="31"/>
        <bgColor auto="1"/>
      </patternFill>
    </fill>
    <fill>
      <patternFill patternType="solid">
        <fgColor indexed="32"/>
        <bgColor auto="1"/>
      </patternFill>
    </fill>
  </fills>
  <borders count="56">
    <border>
      <left/>
      <right/>
      <top/>
      <bottom/>
      <diagonal/>
    </border>
    <border>
      <left style="thin">
        <color indexed="11"/>
      </left>
      <right/>
      <top style="thin">
        <color indexed="11"/>
      </top>
      <bottom/>
      <diagonal/>
    </border>
    <border>
      <left/>
      <right/>
      <top style="thin">
        <color indexed="11"/>
      </top>
      <bottom/>
      <diagonal/>
    </border>
    <border>
      <left/>
      <right style="thin">
        <color indexed="11"/>
      </right>
      <top style="thin">
        <color indexed="11"/>
      </top>
      <bottom/>
      <diagonal/>
    </border>
    <border>
      <left style="thin">
        <color indexed="11"/>
      </left>
      <right/>
      <top/>
      <bottom/>
      <diagonal/>
    </border>
    <border>
      <left/>
      <right/>
      <top/>
      <bottom/>
      <diagonal/>
    </border>
    <border>
      <left/>
      <right style="thin">
        <color indexed="11"/>
      </right>
      <top/>
      <bottom/>
      <diagonal/>
    </border>
    <border>
      <left/>
      <right/>
      <top/>
      <bottom style="thin">
        <color indexed="8"/>
      </bottom>
      <diagonal/>
    </border>
    <border>
      <left/>
      <right/>
      <top style="thin">
        <color indexed="8"/>
      </top>
      <bottom/>
      <diagonal/>
    </border>
    <border>
      <left/>
      <right/>
      <top/>
      <bottom style="thin">
        <color indexed="14"/>
      </bottom>
      <diagonal/>
    </border>
    <border>
      <left/>
      <right style="thin">
        <color indexed="14"/>
      </right>
      <top/>
      <bottom/>
      <diagonal/>
    </border>
    <border>
      <left style="thin">
        <color indexed="14"/>
      </left>
      <right style="thin">
        <color indexed="14"/>
      </right>
      <top style="thin">
        <color indexed="14"/>
      </top>
      <bottom style="thin">
        <color indexed="14"/>
      </bottom>
      <diagonal/>
    </border>
    <border>
      <left style="thin">
        <color indexed="14"/>
      </left>
      <right/>
      <top/>
      <bottom/>
      <diagonal/>
    </border>
    <border>
      <left/>
      <right/>
      <top style="thin">
        <color indexed="14"/>
      </top>
      <bottom style="thin">
        <color indexed="14"/>
      </bottom>
      <diagonal/>
    </border>
    <border>
      <left/>
      <right/>
      <top style="thin">
        <color indexed="14"/>
      </top>
      <bottom/>
      <diagonal/>
    </border>
    <border>
      <left style="thin">
        <color indexed="14"/>
      </left>
      <right style="thin">
        <color indexed="14"/>
      </right>
      <top/>
      <bottom/>
      <diagonal/>
    </border>
    <border>
      <left style="thin">
        <color indexed="14"/>
      </left>
      <right style="thin">
        <color indexed="11"/>
      </right>
      <top/>
      <bottom/>
      <diagonal/>
    </border>
    <border>
      <left style="thin">
        <color indexed="14"/>
      </left>
      <right style="thin">
        <color indexed="14"/>
      </right>
      <top style="thin">
        <color indexed="14"/>
      </top>
      <bottom style="medium">
        <color indexed="8"/>
      </bottom>
      <diagonal/>
    </border>
    <border>
      <left style="thin">
        <color indexed="14"/>
      </left>
      <right style="thin">
        <color indexed="14"/>
      </right>
      <top style="medium">
        <color indexed="8"/>
      </top>
      <bottom style="thin">
        <color indexed="14"/>
      </bottom>
      <diagonal/>
    </border>
    <border>
      <left/>
      <right/>
      <top/>
      <bottom style="medium">
        <color indexed="8"/>
      </bottom>
      <diagonal/>
    </border>
    <border>
      <left/>
      <right/>
      <top style="thin">
        <color indexed="14"/>
      </top>
      <bottom style="thin">
        <color indexed="8"/>
      </bottom>
      <diagonal/>
    </border>
    <border>
      <left/>
      <right/>
      <top style="thin">
        <color indexed="14"/>
      </top>
      <bottom style="medium">
        <color indexed="8"/>
      </bottom>
      <diagonal/>
    </border>
    <border>
      <left style="thin">
        <color indexed="11"/>
      </left>
      <right/>
      <top/>
      <bottom style="thin">
        <color indexed="11"/>
      </bottom>
      <diagonal/>
    </border>
    <border>
      <left/>
      <right/>
      <top/>
      <bottom style="thin">
        <color indexed="11"/>
      </bottom>
      <diagonal/>
    </border>
    <border>
      <left/>
      <right style="thin">
        <color indexed="11"/>
      </right>
      <top/>
      <bottom style="thin">
        <color indexed="11"/>
      </bottom>
      <diagonal/>
    </border>
    <border>
      <left style="thin">
        <color indexed="11"/>
      </left>
      <right style="thin">
        <color indexed="11"/>
      </right>
      <top style="thin">
        <color indexed="11"/>
      </top>
      <bottom style="thin">
        <color indexed="11"/>
      </bottom>
      <diagonal/>
    </border>
    <border>
      <left style="thin">
        <color indexed="11"/>
      </left>
      <right style="thin">
        <color indexed="11"/>
      </right>
      <top style="thin">
        <color indexed="11"/>
      </top>
      <bottom style="thin">
        <color indexed="8"/>
      </bottom>
      <diagonal/>
    </border>
    <border>
      <left style="thin">
        <color indexed="11"/>
      </left>
      <right style="thin">
        <color indexed="11"/>
      </right>
      <top style="thin">
        <color indexed="11"/>
      </top>
      <bottom/>
      <diagonal/>
    </border>
    <border>
      <left/>
      <right/>
      <top/>
      <bottom style="thin">
        <color indexed="23"/>
      </bottom>
      <diagonal/>
    </border>
    <border>
      <left/>
      <right style="thin">
        <color indexed="11"/>
      </right>
      <top style="thin">
        <color indexed="11"/>
      </top>
      <bottom style="thin">
        <color indexed="11"/>
      </bottom>
      <diagonal/>
    </border>
    <border>
      <left/>
      <right/>
      <top style="thin">
        <color indexed="23"/>
      </top>
      <bottom style="thin">
        <color indexed="23"/>
      </bottom>
      <diagonal/>
    </border>
    <border>
      <left style="thin">
        <color indexed="11"/>
      </left>
      <right style="thin">
        <color indexed="11"/>
      </right>
      <top/>
      <bottom style="thin">
        <color indexed="11"/>
      </bottom>
      <diagonal/>
    </border>
    <border>
      <left style="thin">
        <color indexed="11"/>
      </left>
      <right style="thin">
        <color indexed="11"/>
      </right>
      <top style="thin">
        <color indexed="23"/>
      </top>
      <bottom style="thin">
        <color indexed="11"/>
      </bottom>
      <diagonal/>
    </border>
    <border>
      <left style="thin">
        <color indexed="11"/>
      </left>
      <right/>
      <top style="thin">
        <color indexed="11"/>
      </top>
      <bottom style="thin">
        <color indexed="11"/>
      </bottom>
      <diagonal/>
    </border>
    <border>
      <left/>
      <right style="thin">
        <color indexed="8"/>
      </right>
      <top/>
      <bottom/>
      <diagonal/>
    </border>
    <border>
      <left style="thin">
        <color indexed="8"/>
      </left>
      <right/>
      <top/>
      <bottom/>
      <diagonal/>
    </border>
    <border>
      <left style="thin">
        <color indexed="11"/>
      </left>
      <right style="thin">
        <color indexed="14"/>
      </right>
      <top/>
      <bottom style="thin">
        <color indexed="11"/>
      </bottom>
      <diagonal/>
    </border>
    <border>
      <left style="thin">
        <color indexed="14"/>
      </left>
      <right style="thin">
        <color indexed="14"/>
      </right>
      <top/>
      <bottom style="thin">
        <color indexed="11"/>
      </bottom>
      <diagonal/>
    </border>
    <border>
      <left style="thin">
        <color indexed="14"/>
      </left>
      <right style="thin">
        <color indexed="11"/>
      </right>
      <top/>
      <bottom style="thin">
        <color indexed="11"/>
      </bottom>
      <diagonal/>
    </border>
    <border>
      <left style="thin">
        <color indexed="11"/>
      </left>
      <right style="thin">
        <color indexed="8"/>
      </right>
      <top/>
      <bottom style="thin">
        <color indexed="11"/>
      </bottom>
      <diagonal/>
    </border>
    <border>
      <left style="thin">
        <color indexed="11"/>
      </left>
      <right style="thin">
        <color indexed="11"/>
      </right>
      <top/>
      <bottom/>
      <diagonal/>
    </border>
    <border>
      <left style="thin">
        <color indexed="11"/>
      </left>
      <right style="thin">
        <color indexed="14"/>
      </right>
      <top style="thin">
        <color indexed="11"/>
      </top>
      <bottom style="thin">
        <color indexed="11"/>
      </bottom>
      <diagonal/>
    </border>
    <border>
      <left style="thin">
        <color indexed="14"/>
      </left>
      <right style="thin">
        <color indexed="14"/>
      </right>
      <top style="thin">
        <color indexed="11"/>
      </top>
      <bottom style="thin">
        <color indexed="11"/>
      </bottom>
      <diagonal/>
    </border>
    <border>
      <left style="thin">
        <color indexed="14"/>
      </left>
      <right style="thin">
        <color indexed="11"/>
      </right>
      <top style="thin">
        <color indexed="11"/>
      </top>
      <bottom style="thin">
        <color indexed="11"/>
      </bottom>
      <diagonal/>
    </border>
    <border>
      <left style="thin">
        <color indexed="11"/>
      </left>
      <right style="thin">
        <color indexed="8"/>
      </right>
      <top style="thin">
        <color indexed="11"/>
      </top>
      <bottom style="thin">
        <color indexed="11"/>
      </bottom>
      <diagonal/>
    </border>
    <border>
      <left style="thin">
        <color indexed="8"/>
      </left>
      <right style="thin">
        <color indexed="11"/>
      </right>
      <top/>
      <bottom style="thin">
        <color indexed="11"/>
      </bottom>
      <diagonal/>
    </border>
    <border>
      <left style="thin">
        <color indexed="8"/>
      </left>
      <right style="thin">
        <color indexed="11"/>
      </right>
      <top style="thin">
        <color indexed="11"/>
      </top>
      <bottom/>
      <diagonal/>
    </border>
    <border>
      <left/>
      <right/>
      <top style="thin">
        <color indexed="11"/>
      </top>
      <bottom style="thin">
        <color indexed="11"/>
      </bottom>
      <diagonal/>
    </border>
    <border>
      <left style="thin">
        <color indexed="8"/>
      </left>
      <right style="thin">
        <color indexed="11"/>
      </right>
      <top/>
      <bottom/>
      <diagonal/>
    </border>
    <border>
      <left style="thin">
        <color indexed="11"/>
      </left>
      <right style="thin">
        <color indexed="11"/>
      </right>
      <top style="thin">
        <color indexed="14"/>
      </top>
      <bottom style="thin">
        <color indexed="11"/>
      </bottom>
      <diagonal/>
    </border>
    <border>
      <left style="thin">
        <color indexed="11"/>
      </left>
      <right style="thin">
        <color indexed="11"/>
      </right>
      <top style="thin">
        <color indexed="11"/>
      </top>
      <bottom style="thin">
        <color indexed="14"/>
      </bottom>
      <diagonal/>
    </border>
    <border>
      <left/>
      <right style="thin">
        <color indexed="14"/>
      </right>
      <top style="thin">
        <color indexed="11"/>
      </top>
      <bottom style="thin">
        <color indexed="11"/>
      </bottom>
      <diagonal/>
    </border>
    <border>
      <left style="thin">
        <color indexed="11"/>
      </left>
      <right style="thin">
        <color indexed="11"/>
      </right>
      <top style="thin">
        <color indexed="14"/>
      </top>
      <bottom style="thin">
        <color indexed="14"/>
      </bottom>
      <diagonal/>
    </border>
    <border>
      <left style="thin">
        <color indexed="11"/>
      </left>
      <right style="thin">
        <color indexed="11"/>
      </right>
      <top style="thin">
        <color indexed="14"/>
      </top>
      <bottom/>
      <diagonal/>
    </border>
    <border>
      <left style="thin">
        <color indexed="14"/>
      </left>
      <right style="thin">
        <color indexed="11"/>
      </right>
      <top/>
      <bottom style="thin">
        <color indexed="14"/>
      </bottom>
      <diagonal/>
    </border>
    <border>
      <left style="thin">
        <color indexed="11"/>
      </left>
      <right style="thin">
        <color indexed="11"/>
      </right>
      <top/>
      <bottom style="thin">
        <color indexed="14"/>
      </bottom>
      <diagonal/>
    </border>
  </borders>
  <cellStyleXfs count="1">
    <xf numFmtId="0" fontId="0" applyNumberFormat="0" applyFont="1" applyFill="0" applyBorder="0" applyAlignment="1" applyProtection="0">
      <alignment vertical="top" wrapText="1"/>
    </xf>
  </cellStyleXfs>
  <cellXfs count="249">
    <xf numFmtId="0" fontId="0" applyNumberFormat="0" applyFont="1" applyFill="0" applyBorder="0" applyAlignment="1" applyProtection="0">
      <alignment vertical="top" wrapText="1"/>
    </xf>
    <xf numFmtId="0" fontId="5" applyNumberFormat="1" applyFont="1" applyFill="0" applyBorder="0" applyAlignment="1" applyProtection="0">
      <alignment vertical="bottom"/>
    </xf>
    <xf numFmtId="0" fontId="5" borderId="1" applyNumberFormat="0" applyFont="1" applyFill="0" applyBorder="1" applyAlignment="1" applyProtection="0">
      <alignment vertical="bottom"/>
    </xf>
    <xf numFmtId="0" fontId="5" borderId="2" applyNumberFormat="0" applyFont="1" applyFill="0" applyBorder="1" applyAlignment="1" applyProtection="0">
      <alignment vertical="bottom"/>
    </xf>
    <xf numFmtId="1" fontId="7" borderId="2" applyNumberFormat="1" applyFont="1" applyFill="0" applyBorder="1" applyAlignment="1" applyProtection="0">
      <alignment vertical="bottom"/>
    </xf>
    <xf numFmtId="1" fontId="7" borderId="3" applyNumberFormat="1" applyFont="1" applyFill="0" applyBorder="1" applyAlignment="1" applyProtection="0">
      <alignment vertical="bottom"/>
    </xf>
    <xf numFmtId="0" fontId="5" borderId="4" applyNumberFormat="0" applyFont="1" applyFill="0" applyBorder="1" applyAlignment="1" applyProtection="0">
      <alignment vertical="bottom"/>
    </xf>
    <xf numFmtId="0" fontId="5" borderId="5" applyNumberFormat="0" applyFont="1" applyFill="0" applyBorder="1" applyAlignment="1" applyProtection="0">
      <alignment vertical="bottom"/>
    </xf>
    <xf numFmtId="1" fontId="7" borderId="5" applyNumberFormat="1" applyFont="1" applyFill="0" applyBorder="1" applyAlignment="1" applyProtection="0">
      <alignment vertical="bottom"/>
    </xf>
    <xf numFmtId="1" fontId="7" borderId="6" applyNumberFormat="1" applyFont="1" applyFill="0" applyBorder="1" applyAlignment="1" applyProtection="0">
      <alignment vertical="bottom"/>
    </xf>
    <xf numFmtId="0" fontId="8" borderId="7" applyNumberFormat="1" applyFont="1" applyFill="0" applyBorder="1" applyAlignment="1" applyProtection="0">
      <alignment vertical="bottom"/>
    </xf>
    <xf numFmtId="1" fontId="7" borderId="7" applyNumberFormat="1" applyFont="1" applyFill="0" applyBorder="1" applyAlignment="1" applyProtection="0">
      <alignment vertical="bottom"/>
    </xf>
    <xf numFmtId="0" fontId="9" borderId="8" applyNumberFormat="1" applyFont="1" applyFill="0" applyBorder="1" applyAlignment="1" applyProtection="0">
      <alignment horizontal="left" vertical="top" wrapText="1"/>
    </xf>
    <xf numFmtId="1" fontId="9" borderId="8" applyNumberFormat="1" applyFont="1" applyFill="0" applyBorder="1" applyAlignment="1" applyProtection="0">
      <alignment horizontal="left" vertical="top" wrapText="1"/>
    </xf>
    <xf numFmtId="1" fontId="9" borderId="8" applyNumberFormat="1" applyFont="1" applyFill="0" applyBorder="1" applyAlignment="1" applyProtection="0">
      <alignment vertical="bottom"/>
    </xf>
    <xf numFmtId="0" fontId="10" borderId="5" applyNumberFormat="1" applyFont="1" applyFill="0" applyBorder="1" applyAlignment="1" applyProtection="0">
      <alignment horizontal="left" vertical="bottom"/>
    </xf>
    <xf numFmtId="1" fontId="7" borderId="9" applyNumberFormat="1" applyFont="1" applyFill="0" applyBorder="1" applyAlignment="1" applyProtection="0">
      <alignment vertical="bottom"/>
    </xf>
    <xf numFmtId="0" fontId="10" borderId="10" applyNumberFormat="1" applyFont="1" applyFill="0" applyBorder="1" applyAlignment="1" applyProtection="0">
      <alignment horizontal="left" vertical="bottom"/>
    </xf>
    <xf numFmtId="0" fontId="11" fillId="2" borderId="11" applyNumberFormat="1" applyFont="1" applyFill="1" applyBorder="1" applyAlignment="1" applyProtection="0">
      <alignment horizontal="center" vertical="bottom"/>
    </xf>
    <xf numFmtId="1" fontId="7" borderId="12" applyNumberFormat="1" applyFont="1" applyFill="0" applyBorder="1" applyAlignment="1" applyProtection="0">
      <alignment horizontal="center" vertical="bottom"/>
    </xf>
    <xf numFmtId="0" fontId="12" borderId="5" applyNumberFormat="1" applyFont="1" applyFill="0" applyBorder="1" applyAlignment="1" applyProtection="0">
      <alignment horizontal="center" vertical="center"/>
    </xf>
    <xf numFmtId="59" fontId="11" fillId="2" borderId="11" applyNumberFormat="1" applyFont="1" applyFill="1" applyBorder="1" applyAlignment="1" applyProtection="0">
      <alignment horizontal="center" vertical="bottom"/>
    </xf>
    <xf numFmtId="1" fontId="7" borderId="5" applyNumberFormat="1" applyFont="1" applyFill="0" applyBorder="1" applyAlignment="1" applyProtection="0">
      <alignment horizontal="center" vertical="bottom"/>
    </xf>
    <xf numFmtId="1" fontId="10" borderId="5" applyNumberFormat="1" applyFont="1" applyFill="0" applyBorder="1" applyAlignment="1" applyProtection="0">
      <alignment horizontal="left" vertical="bottom"/>
    </xf>
    <xf numFmtId="1" fontId="7" borderId="13" applyNumberFormat="1" applyFont="1" applyFill="0" applyBorder="1" applyAlignment="1" applyProtection="0">
      <alignment horizontal="center" vertical="bottom"/>
    </xf>
    <xf numFmtId="1" fontId="7" borderId="14" applyNumberFormat="1" applyFont="1" applyFill="0" applyBorder="1" applyAlignment="1" applyProtection="0">
      <alignment horizontal="center" vertical="bottom"/>
    </xf>
    <xf numFmtId="0" fontId="7" borderId="5" applyNumberFormat="1" applyFont="1" applyFill="0" applyBorder="1" applyAlignment="1" applyProtection="0">
      <alignment horizontal="center" vertical="bottom"/>
    </xf>
    <xf numFmtId="1" fontId="7" borderId="8" applyNumberFormat="1" applyFont="1" applyFill="0" applyBorder="1" applyAlignment="1" applyProtection="0">
      <alignment vertical="bottom"/>
    </xf>
    <xf numFmtId="1" fontId="7" borderId="8" applyNumberFormat="1" applyFont="1" applyFill="0" applyBorder="1" applyAlignment="1" applyProtection="0">
      <alignment horizontal="center" vertical="bottom"/>
    </xf>
    <xf numFmtId="0" fontId="7" borderId="9" applyNumberFormat="1" applyFont="1" applyFill="0" applyBorder="1" applyAlignment="1" applyProtection="0">
      <alignment horizontal="center" vertical="bottom"/>
    </xf>
    <xf numFmtId="60" fontId="11" fillId="2" borderId="11" applyNumberFormat="1" applyFont="1" applyFill="1" applyBorder="1" applyAlignment="1" applyProtection="0">
      <alignment horizontal="center" vertical="bottom"/>
    </xf>
    <xf numFmtId="61" fontId="7" borderId="15" applyNumberFormat="1" applyFont="1" applyFill="0" applyBorder="1" applyAlignment="1" applyProtection="0">
      <alignment horizontal="center" vertical="bottom"/>
    </xf>
    <xf numFmtId="60" fontId="13" fillId="3" borderId="11" applyNumberFormat="1" applyFont="1" applyFill="1" applyBorder="1" applyAlignment="1" applyProtection="0">
      <alignment horizontal="center" vertical="bottom"/>
    </xf>
    <xf numFmtId="1" fontId="7" borderId="16" applyNumberFormat="1" applyFont="1" applyFill="0" applyBorder="1" applyAlignment="1" applyProtection="0">
      <alignment vertical="bottom"/>
    </xf>
    <xf numFmtId="60" fontId="13" fillId="3" borderId="17" applyNumberFormat="1" applyFont="1" applyFill="1" applyBorder="1" applyAlignment="1" applyProtection="0">
      <alignment horizontal="center" vertical="bottom"/>
    </xf>
    <xf numFmtId="0" fontId="10" borderId="10" applyNumberFormat="1" applyFont="1" applyFill="0" applyBorder="1" applyAlignment="1" applyProtection="0">
      <alignment horizontal="right" vertical="bottom"/>
    </xf>
    <xf numFmtId="60" fontId="13" fillId="3" borderId="18" applyNumberFormat="1" applyFont="1" applyFill="1" applyBorder="1" applyAlignment="1" applyProtection="0">
      <alignment horizontal="center" vertical="bottom"/>
    </xf>
    <xf numFmtId="1" fontId="10" borderId="5" applyNumberFormat="1" applyFont="1" applyFill="0" applyBorder="1" applyAlignment="1" applyProtection="0">
      <alignment vertical="bottom"/>
    </xf>
    <xf numFmtId="1" fontId="7" borderId="9" applyNumberFormat="1" applyFont="1" applyFill="0" applyBorder="1" applyAlignment="1" applyProtection="0">
      <alignment horizontal="center" vertical="bottom"/>
    </xf>
    <xf numFmtId="9" fontId="11" fillId="2" borderId="17" applyNumberFormat="1" applyFont="1" applyFill="1" applyBorder="1" applyAlignment="1" applyProtection="0">
      <alignment horizontal="center" vertical="bottom"/>
    </xf>
    <xf numFmtId="9" fontId="7" borderId="19" applyNumberFormat="1" applyFont="1" applyFill="0" applyBorder="1" applyAlignment="1" applyProtection="0">
      <alignment horizontal="center" vertical="bottom"/>
    </xf>
    <xf numFmtId="1" fontId="7" borderId="20" applyNumberFormat="1" applyFont="1" applyFill="0" applyBorder="1" applyAlignment="1" applyProtection="0">
      <alignment vertical="bottom"/>
    </xf>
    <xf numFmtId="0" fontId="7" borderId="5" applyNumberFormat="1" applyFont="1" applyFill="0" applyBorder="1" applyAlignment="1" applyProtection="0">
      <alignment horizontal="left" vertical="bottom"/>
    </xf>
    <xf numFmtId="60" fontId="13" fillId="3" borderId="8" applyNumberFormat="1" applyFont="1" applyFill="1" applyBorder="1" applyAlignment="1" applyProtection="0">
      <alignment horizontal="center" vertical="bottom"/>
    </xf>
    <xf numFmtId="61" fontId="7" borderId="5" applyNumberFormat="1" applyFont="1" applyFill="0" applyBorder="1" applyAlignment="1" applyProtection="0">
      <alignment horizontal="center" vertical="bottom"/>
    </xf>
    <xf numFmtId="9" fontId="11" fillId="2" borderId="9" applyNumberFormat="1" applyFont="1" applyFill="1" applyBorder="1" applyAlignment="1" applyProtection="0">
      <alignment horizontal="center" vertical="bottom"/>
    </xf>
    <xf numFmtId="9" fontId="7" borderId="5" applyNumberFormat="1" applyFont="1" applyFill="0" applyBorder="1" applyAlignment="1" applyProtection="0">
      <alignment horizontal="center" vertical="bottom"/>
    </xf>
    <xf numFmtId="1" fontId="7" borderId="12" applyNumberFormat="1" applyFont="1" applyFill="0" applyBorder="1" applyAlignment="1" applyProtection="0">
      <alignment vertical="bottom"/>
    </xf>
    <xf numFmtId="60" fontId="11" fillId="2" borderId="5" applyNumberFormat="1" applyFont="1" applyFill="1" applyBorder="1" applyAlignment="1" applyProtection="0">
      <alignment horizontal="center" vertical="bottom"/>
    </xf>
    <xf numFmtId="1" fontId="7" borderId="14" applyNumberFormat="1" applyFont="1" applyFill="0" applyBorder="1" applyAlignment="1" applyProtection="0">
      <alignment horizontal="left" vertical="bottom"/>
    </xf>
    <xf numFmtId="1" fontId="7" borderId="9" applyNumberFormat="1" applyFont="1" applyFill="0" applyBorder="1" applyAlignment="1" applyProtection="0">
      <alignment horizontal="left" vertical="bottom"/>
    </xf>
    <xf numFmtId="9" fontId="7" borderId="9" applyNumberFormat="1" applyFont="1" applyFill="0" applyBorder="1" applyAlignment="1" applyProtection="0">
      <alignment horizontal="center" vertical="bottom"/>
    </xf>
    <xf numFmtId="1" fontId="7" borderId="21" applyNumberFormat="1" applyFont="1" applyFill="0" applyBorder="1" applyAlignment="1" applyProtection="0">
      <alignment vertical="bottom"/>
    </xf>
    <xf numFmtId="9" fontId="11" fillId="2" borderId="11" applyNumberFormat="1" applyFont="1" applyFill="1" applyBorder="1" applyAlignment="1" applyProtection="0">
      <alignment horizontal="center" vertical="bottom"/>
    </xf>
    <xf numFmtId="0" fontId="5" borderId="6" applyNumberFormat="0" applyFont="1" applyFill="0" applyBorder="1" applyAlignment="1" applyProtection="0">
      <alignment vertical="bottom"/>
    </xf>
    <xf numFmtId="60" fontId="13" fillId="3" borderId="11" applyNumberFormat="1" applyFont="1" applyFill="1" applyBorder="1" applyAlignment="1" applyProtection="0">
      <alignment vertical="bottom"/>
    </xf>
    <xf numFmtId="1" fontId="7" borderId="15" applyNumberFormat="1" applyFont="1" applyFill="0" applyBorder="1" applyAlignment="1" applyProtection="0">
      <alignment horizontal="center" vertical="bottom"/>
    </xf>
    <xf numFmtId="0" fontId="5" borderId="16" applyNumberFormat="0" applyFont="1" applyFill="0" applyBorder="1" applyAlignment="1" applyProtection="0">
      <alignment vertical="bottom"/>
    </xf>
    <xf numFmtId="1" fontId="7" borderId="5" applyNumberFormat="1" applyFont="1" applyFill="0" applyBorder="1" applyAlignment="1" applyProtection="0">
      <alignment horizontal="left" vertical="bottom"/>
    </xf>
    <xf numFmtId="0" fontId="10" borderId="5" applyNumberFormat="1" applyFont="1" applyFill="0" applyBorder="1" applyAlignment="1" applyProtection="0">
      <alignment horizontal="right" vertical="bottom"/>
    </xf>
    <xf numFmtId="60" fontId="14" fillId="4" borderId="5" applyNumberFormat="1" applyFont="1" applyFill="1" applyBorder="1" applyAlignment="1" applyProtection="0">
      <alignment horizontal="center" vertical="bottom"/>
    </xf>
    <xf numFmtId="1" fontId="14" fillId="4" borderId="5" applyNumberFormat="1" applyFont="1" applyFill="1" applyBorder="1" applyAlignment="1" applyProtection="0">
      <alignment horizontal="center" vertical="bottom"/>
    </xf>
    <xf numFmtId="1" fontId="15" borderId="5" applyNumberFormat="1" applyFont="1" applyFill="0" applyBorder="1" applyAlignment="1" applyProtection="0">
      <alignment horizontal="center" vertical="bottom"/>
    </xf>
    <xf numFmtId="0" fontId="16" borderId="5" applyNumberFormat="1" applyFont="1" applyFill="0" applyBorder="1" applyAlignment="1" applyProtection="0">
      <alignment vertical="bottom" wrapText="1"/>
    </xf>
    <xf numFmtId="1" fontId="16" borderId="5" applyNumberFormat="1" applyFont="1" applyFill="0" applyBorder="1" applyAlignment="1" applyProtection="0">
      <alignment vertical="bottom" wrapText="1"/>
    </xf>
    <xf numFmtId="0" fontId="5" borderId="22" applyNumberFormat="0" applyFont="1" applyFill="0" applyBorder="1" applyAlignment="1" applyProtection="0">
      <alignment vertical="bottom"/>
    </xf>
    <xf numFmtId="0" fontId="5" borderId="23" applyNumberFormat="0" applyFont="1" applyFill="0" applyBorder="1" applyAlignment="1" applyProtection="0">
      <alignment vertical="bottom"/>
    </xf>
    <xf numFmtId="1" fontId="15" borderId="23" applyNumberFormat="1" applyFont="1" applyFill="0" applyBorder="1" applyAlignment="1" applyProtection="0">
      <alignment horizontal="center" vertical="bottom"/>
    </xf>
    <xf numFmtId="0" fontId="5" borderId="24" applyNumberFormat="0" applyFont="1" applyFill="0" applyBorder="1" applyAlignment="1" applyProtection="0">
      <alignment vertical="bottom"/>
    </xf>
    <xf numFmtId="0" fontId="5" applyNumberFormat="1" applyFont="1" applyFill="0" applyBorder="0" applyAlignment="1" applyProtection="0">
      <alignment vertical="bottom"/>
    </xf>
    <xf numFmtId="0" fontId="5" borderId="25" applyNumberFormat="0" applyFont="1" applyFill="0" applyBorder="1" applyAlignment="1" applyProtection="0">
      <alignment vertical="bottom"/>
    </xf>
    <xf numFmtId="0" fontId="8" borderId="26" applyNumberFormat="1" applyFont="1" applyFill="0" applyBorder="1" applyAlignment="1" applyProtection="0">
      <alignment vertical="bottom"/>
    </xf>
    <xf numFmtId="0" fontId="5" applyNumberFormat="1" applyFont="1" applyFill="0" applyBorder="0" applyAlignment="1" applyProtection="0">
      <alignment vertical="bottom"/>
    </xf>
    <xf numFmtId="0" fontId="17" borderId="25" applyNumberFormat="1" applyFont="1" applyFill="0" applyBorder="1" applyAlignment="1" applyProtection="0">
      <alignment vertical="bottom"/>
    </xf>
    <xf numFmtId="0" fontId="5" borderId="25" applyNumberFormat="1" applyFont="1" applyFill="0" applyBorder="1" applyAlignment="1" applyProtection="0">
      <alignment vertical="bottom"/>
    </xf>
    <xf numFmtId="1" fontId="17" borderId="25" applyNumberFormat="1" applyFont="1" applyFill="0" applyBorder="1" applyAlignment="1" applyProtection="0">
      <alignment vertical="bottom"/>
    </xf>
    <xf numFmtId="0" fontId="5" borderId="25" applyNumberFormat="1" applyFont="1" applyFill="0" applyBorder="1" applyAlignment="1" applyProtection="0">
      <alignment horizontal="left" vertical="bottom"/>
    </xf>
    <xf numFmtId="0" fontId="5" borderId="25" applyNumberFormat="1" applyFont="1" applyFill="0" applyBorder="1" applyAlignment="1" applyProtection="0">
      <alignment horizontal="center" vertical="bottom"/>
    </xf>
    <xf numFmtId="0" fontId="5" borderId="25" applyNumberFormat="1" applyFont="1" applyFill="0" applyBorder="1" applyAlignment="1" applyProtection="0">
      <alignment horizontal="right" vertical="bottom"/>
    </xf>
    <xf numFmtId="9" fontId="5" borderId="25" applyNumberFormat="1" applyFont="1" applyFill="0" applyBorder="1" applyAlignment="1" applyProtection="0">
      <alignment horizontal="center" vertical="bottom"/>
    </xf>
    <xf numFmtId="0" fontId="17" borderId="25" applyNumberFormat="1" applyFont="1" applyFill="0" applyBorder="1" applyAlignment="1" applyProtection="0">
      <alignment vertical="bottom" wrapText="1"/>
    </xf>
    <xf numFmtId="61" fontId="5" borderId="25" applyNumberFormat="1" applyFont="1" applyFill="0" applyBorder="1" applyAlignment="1" applyProtection="0">
      <alignment horizontal="center" vertical="bottom" wrapText="1"/>
    </xf>
    <xf numFmtId="62" fontId="5" borderId="25" applyNumberFormat="1" applyFont="1" applyFill="0" applyBorder="1" applyAlignment="1" applyProtection="0">
      <alignment horizontal="left" vertical="bottom"/>
    </xf>
    <xf numFmtId="62" fontId="5" borderId="25" applyNumberFormat="1" applyFont="1" applyFill="0" applyBorder="1" applyAlignment="1" applyProtection="0">
      <alignment horizontal="center" vertical="bottom" wrapText="1"/>
    </xf>
    <xf numFmtId="0" fontId="18" borderId="25" applyNumberFormat="1" applyFont="1" applyFill="0" applyBorder="1" applyAlignment="1" applyProtection="0">
      <alignment vertical="bottom"/>
    </xf>
    <xf numFmtId="1" fontId="5" borderId="25" applyNumberFormat="1" applyFont="1" applyFill="0" applyBorder="1" applyAlignment="1" applyProtection="0">
      <alignment vertical="bottom" wrapText="1"/>
    </xf>
    <xf numFmtId="0" fontId="5" borderId="25" applyNumberFormat="1" applyFont="1" applyFill="0" applyBorder="1" applyAlignment="1" applyProtection="0">
      <alignment horizontal="left" vertical="bottom" wrapText="1"/>
    </xf>
    <xf numFmtId="1" fontId="5" borderId="25" applyNumberFormat="1" applyFont="1" applyFill="0" applyBorder="1" applyAlignment="1" applyProtection="0">
      <alignment horizontal="left" vertical="bottom" wrapText="1"/>
    </xf>
    <xf numFmtId="1" fontId="5" borderId="25" applyNumberFormat="1" applyFont="1" applyFill="0" applyBorder="1" applyAlignment="1" applyProtection="0">
      <alignment horizontal="left" vertical="bottom"/>
    </xf>
    <xf numFmtId="1" fontId="5" borderId="25" applyNumberFormat="1" applyFont="1" applyFill="0" applyBorder="1" applyAlignment="1" applyProtection="0">
      <alignment vertical="bottom"/>
    </xf>
    <xf numFmtId="0" fontId="19" borderId="25" applyNumberFormat="1" applyFont="1" applyFill="0" applyBorder="1" applyAlignment="1" applyProtection="0">
      <alignment vertical="bottom"/>
    </xf>
    <xf numFmtId="0" fontId="7" borderId="25" applyNumberFormat="1" applyFont="1" applyFill="0" applyBorder="1" applyAlignment="1" applyProtection="0">
      <alignment horizontal="left" vertical="center"/>
    </xf>
    <xf numFmtId="1" fontId="7" borderId="25" applyNumberFormat="1" applyFont="1" applyFill="0" applyBorder="1" applyAlignment="1" applyProtection="0">
      <alignment horizontal="left" vertical="center"/>
    </xf>
    <xf numFmtId="0" fontId="5" applyNumberFormat="1" applyFont="1" applyFill="0" applyBorder="0" applyAlignment="1" applyProtection="0">
      <alignment vertical="bottom"/>
    </xf>
    <xf numFmtId="0" fontId="20" borderId="25" applyNumberFormat="1" applyFont="1" applyFill="0" applyBorder="1" applyAlignment="1" applyProtection="0">
      <alignment vertical="bottom"/>
    </xf>
    <xf numFmtId="1" fontId="21" borderId="25" applyNumberFormat="1" applyFont="1" applyFill="0" applyBorder="1" applyAlignment="1" applyProtection="0">
      <alignment horizontal="center" vertical="bottom"/>
    </xf>
    <xf numFmtId="0" fontId="5" borderId="27" applyNumberFormat="0" applyFont="1" applyFill="0" applyBorder="1" applyAlignment="1" applyProtection="0">
      <alignment vertical="bottom"/>
    </xf>
    <xf numFmtId="0" fontId="5" fillId="5" borderId="5" applyNumberFormat="1" applyFont="1" applyFill="1" applyBorder="1" applyAlignment="1" applyProtection="0">
      <alignment vertical="bottom"/>
    </xf>
    <xf numFmtId="0" fontId="22" fillId="5" borderId="28" applyNumberFormat="1" applyFont="1" applyFill="1" applyBorder="1" applyAlignment="1" applyProtection="0">
      <alignment vertical="bottom"/>
    </xf>
    <xf numFmtId="0" fontId="5" borderId="29" applyNumberFormat="0" applyFont="1" applyFill="0" applyBorder="1" applyAlignment="1" applyProtection="0">
      <alignment vertical="bottom"/>
    </xf>
    <xf numFmtId="1" fontId="5" fillId="5" borderId="5" applyNumberFormat="1" applyFont="1" applyFill="1" applyBorder="1" applyAlignment="1" applyProtection="0">
      <alignment vertical="bottom"/>
    </xf>
    <xf numFmtId="10" fontId="22" fillId="5" borderId="30" applyNumberFormat="1" applyFont="1" applyFill="1" applyBorder="1" applyAlignment="1" applyProtection="0">
      <alignment vertical="bottom"/>
    </xf>
    <xf numFmtId="0" fontId="22" fillId="5" borderId="30" applyNumberFormat="1" applyFont="1" applyFill="1" applyBorder="1" applyAlignment="1" applyProtection="0">
      <alignment vertical="bottom"/>
    </xf>
    <xf numFmtId="63" fontId="22" fillId="5" borderId="30" applyNumberFormat="1" applyFont="1" applyFill="1" applyBorder="1" applyAlignment="1" applyProtection="0">
      <alignment vertical="bottom"/>
    </xf>
    <xf numFmtId="0" fontId="5" borderId="31" applyNumberFormat="0" applyFont="1" applyFill="0" applyBorder="1" applyAlignment="1" applyProtection="0">
      <alignment vertical="bottom"/>
    </xf>
    <xf numFmtId="0" fontId="5" borderId="32" applyNumberFormat="0" applyFont="1" applyFill="0" applyBorder="1" applyAlignment="1" applyProtection="0">
      <alignment vertical="bottom"/>
    </xf>
    <xf numFmtId="0" fontId="5" borderId="27" applyNumberFormat="1" applyFont="1" applyFill="0" applyBorder="1" applyAlignment="1" applyProtection="0">
      <alignment horizontal="left" vertical="bottom"/>
    </xf>
    <xf numFmtId="0" fontId="23" borderId="33" applyNumberFormat="1" applyFont="1" applyFill="0" applyBorder="1" applyAlignment="1" applyProtection="0">
      <alignment horizontal="left" vertical="bottom"/>
    </xf>
    <xf numFmtId="0" fontId="17" fillId="6" borderId="5" applyNumberFormat="1" applyFont="1" applyFill="1" applyBorder="1" applyAlignment="1" applyProtection="0">
      <alignment horizontal="left" vertical="bottom"/>
    </xf>
    <xf numFmtId="0" fontId="5" fillId="6" borderId="5" applyNumberFormat="1" applyFont="1" applyFill="1" applyBorder="1" applyAlignment="1" applyProtection="0">
      <alignment horizontal="left" vertical="bottom"/>
    </xf>
    <xf numFmtId="1" fontId="5" fillId="6" borderId="5" applyNumberFormat="1" applyFont="1" applyFill="1" applyBorder="1" applyAlignment="1" applyProtection="0">
      <alignment vertical="bottom"/>
    </xf>
    <xf numFmtId="0" fontId="5" fillId="6" borderId="9" applyNumberFormat="1" applyFont="1" applyFill="1" applyBorder="1" applyAlignment="1" applyProtection="0">
      <alignment vertical="bottom"/>
    </xf>
    <xf numFmtId="0" fontId="5" fillId="6" borderId="5" applyNumberFormat="1" applyFont="1" applyFill="1" applyBorder="1" applyAlignment="1" applyProtection="0">
      <alignment vertical="bottom"/>
    </xf>
    <xf numFmtId="0" fontId="5" fillId="6" borderId="34" applyNumberFormat="1" applyFont="1" applyFill="1" applyBorder="1" applyAlignment="1" applyProtection="0">
      <alignment horizontal="center" vertical="bottom"/>
    </xf>
    <xf numFmtId="10" fontId="5" fillId="6" borderId="35" applyNumberFormat="1" applyFont="1" applyFill="1" applyBorder="1" applyAlignment="1" applyProtection="0">
      <alignment horizontal="center" vertical="bottom"/>
    </xf>
    <xf numFmtId="10" fontId="5" fillId="6" borderId="5" applyNumberFormat="1" applyFont="1" applyFill="1" applyBorder="1" applyAlignment="1" applyProtection="0">
      <alignment horizontal="center" vertical="bottom"/>
    </xf>
    <xf numFmtId="64" fontId="5" fillId="6" borderId="5" applyNumberFormat="1" applyFont="1" applyFill="1" applyBorder="1" applyAlignment="1" applyProtection="0">
      <alignment horizontal="center" vertical="bottom"/>
    </xf>
    <xf numFmtId="10" fontId="5" borderId="29" applyNumberFormat="1" applyFont="1" applyFill="0" applyBorder="1" applyAlignment="1" applyProtection="0">
      <alignment vertical="bottom"/>
    </xf>
    <xf numFmtId="10" fontId="5" borderId="25" applyNumberFormat="1" applyFont="1" applyFill="0" applyBorder="1" applyAlignment="1" applyProtection="0">
      <alignment vertical="bottom"/>
    </xf>
    <xf numFmtId="0" fontId="23" borderId="25" applyNumberFormat="1" applyFont="1" applyFill="0" applyBorder="1" applyAlignment="1" applyProtection="0">
      <alignment horizontal="left" vertical="bottom"/>
    </xf>
    <xf numFmtId="0" fontId="7" borderId="31" applyNumberFormat="1" applyFont="1" applyFill="0" applyBorder="1" applyAlignment="1" applyProtection="0">
      <alignment horizontal="left" vertical="center"/>
    </xf>
    <xf numFmtId="0" fontId="5" borderId="36" applyNumberFormat="0" applyFont="1" applyFill="0" applyBorder="1" applyAlignment="1" applyProtection="0">
      <alignment vertical="bottom"/>
    </xf>
    <xf numFmtId="65" fontId="24" fillId="3" borderId="11" applyNumberFormat="1" applyFont="1" applyFill="1" applyBorder="1" applyAlignment="1" applyProtection="0">
      <alignment vertical="bottom"/>
    </xf>
    <xf numFmtId="0" fontId="5" borderId="37" applyNumberFormat="0" applyFont="1" applyFill="0" applyBorder="1" applyAlignment="1" applyProtection="0">
      <alignment vertical="bottom"/>
    </xf>
    <xf numFmtId="61" fontId="24" fillId="3" borderId="11" applyNumberFormat="1" applyFont="1" applyFill="1" applyBorder="1" applyAlignment="1" applyProtection="0">
      <alignment horizontal="center" vertical="bottom"/>
    </xf>
    <xf numFmtId="0" fontId="5" borderId="38" applyNumberFormat="0" applyFont="1" applyFill="0" applyBorder="1" applyAlignment="1" applyProtection="0">
      <alignment vertical="bottom"/>
    </xf>
    <xf numFmtId="0" fontId="5" borderId="39" applyNumberFormat="0" applyFont="1" applyFill="0" applyBorder="1" applyAlignment="1" applyProtection="0">
      <alignment vertical="bottom"/>
    </xf>
    <xf numFmtId="61" fontId="25" fillId="2" borderId="35" applyNumberFormat="1" applyFont="1" applyFill="1" applyBorder="1" applyAlignment="1" applyProtection="0">
      <alignment horizontal="center" vertical="bottom"/>
    </xf>
    <xf numFmtId="61" fontId="22" borderId="6" applyNumberFormat="1" applyFont="1" applyFill="0" applyBorder="1" applyAlignment="1" applyProtection="0">
      <alignment horizontal="center" vertical="bottom"/>
    </xf>
    <xf numFmtId="61" fontId="22" borderId="40" applyNumberFormat="1" applyFont="1" applyFill="0" applyBorder="1" applyAlignment="1" applyProtection="0">
      <alignment horizontal="center" vertical="bottom"/>
    </xf>
    <xf numFmtId="61" fontId="22" borderId="4" applyNumberFormat="1" applyFont="1" applyFill="0" applyBorder="1" applyAlignment="1" applyProtection="0">
      <alignment horizontal="center" vertical="bottom"/>
    </xf>
    <xf numFmtId="61" fontId="25" fillId="2" borderId="5" applyNumberFormat="1" applyFont="1" applyFill="1" applyBorder="1" applyAlignment="1" applyProtection="0">
      <alignment horizontal="center" vertical="bottom"/>
    </xf>
    <xf numFmtId="61" fontId="5" borderId="31" applyNumberFormat="1" applyFont="1" applyFill="0" applyBorder="1" applyAlignment="1" applyProtection="0">
      <alignment vertical="bottom"/>
    </xf>
    <xf numFmtId="61" fontId="5" borderId="25" applyNumberFormat="1" applyFont="1" applyFill="0" applyBorder="1" applyAlignment="1" applyProtection="0">
      <alignment vertical="bottom"/>
    </xf>
    <xf numFmtId="0" fontId="5" borderId="41" applyNumberFormat="0" applyFont="1" applyFill="0" applyBorder="1" applyAlignment="1" applyProtection="0">
      <alignment vertical="bottom"/>
    </xf>
    <xf numFmtId="1" fontId="24" fillId="3" borderId="11" applyNumberFormat="1" applyFont="1" applyFill="1" applyBorder="1" applyAlignment="1" applyProtection="0">
      <alignment vertical="bottom"/>
    </xf>
    <xf numFmtId="0" fontId="5" borderId="42" applyNumberFormat="0" applyFont="1" applyFill="0" applyBorder="1" applyAlignment="1" applyProtection="0">
      <alignment vertical="bottom"/>
    </xf>
    <xf numFmtId="0" fontId="5" borderId="43" applyNumberFormat="0" applyFont="1" applyFill="0" applyBorder="1" applyAlignment="1" applyProtection="0">
      <alignment vertical="bottom"/>
    </xf>
    <xf numFmtId="0" fontId="5" borderId="44" applyNumberFormat="0" applyFont="1" applyFill="0" applyBorder="1" applyAlignment="1" applyProtection="0">
      <alignment vertical="bottom"/>
    </xf>
    <xf numFmtId="1" fontId="5" fillId="6" borderId="35" applyNumberFormat="1" applyFont="1" applyFill="1" applyBorder="1" applyAlignment="1" applyProtection="0">
      <alignment horizontal="center" vertical="bottom"/>
    </xf>
    <xf numFmtId="1" fontId="5" fillId="6" borderId="5" applyNumberFormat="1" applyFont="1" applyFill="1" applyBorder="1" applyAlignment="1" applyProtection="0">
      <alignment horizontal="center" vertical="bottom"/>
    </xf>
    <xf numFmtId="1" fontId="5" borderId="25" applyNumberFormat="1" applyFont="1" applyFill="0" applyBorder="1" applyAlignment="1" applyProtection="0">
      <alignment horizontal="center" vertical="bottom"/>
    </xf>
    <xf numFmtId="61" fontId="22" borderId="24" applyNumberFormat="1" applyFont="1" applyFill="0" applyBorder="1" applyAlignment="1" applyProtection="0">
      <alignment horizontal="center" vertical="bottom"/>
    </xf>
    <xf numFmtId="61" fontId="22" borderId="31" applyNumberFormat="1" applyFont="1" applyFill="0" applyBorder="1" applyAlignment="1" applyProtection="0">
      <alignment horizontal="center" vertical="bottom"/>
    </xf>
    <xf numFmtId="61" fontId="22" borderId="22" applyNumberFormat="1" applyFont="1" applyFill="0" applyBorder="1" applyAlignment="1" applyProtection="0">
      <alignment horizontal="center" vertical="bottom"/>
    </xf>
    <xf numFmtId="61" fontId="22" fillId="7" borderId="5" applyNumberFormat="1" applyFont="1" applyFill="1" applyBorder="1" applyAlignment="1" applyProtection="0">
      <alignment horizontal="center" vertical="bottom"/>
    </xf>
    <xf numFmtId="61" fontId="22" borderId="25" applyNumberFormat="1" applyFont="1" applyFill="0" applyBorder="1" applyAlignment="1" applyProtection="0">
      <alignment horizontal="center" vertical="bottom"/>
    </xf>
    <xf numFmtId="61" fontId="22" borderId="27" applyNumberFormat="1" applyFont="1" applyFill="0" applyBorder="1" applyAlignment="1" applyProtection="0">
      <alignment horizontal="center" vertical="bottom"/>
    </xf>
    <xf numFmtId="61" fontId="22" borderId="29" applyNumberFormat="1" applyFont="1" applyFill="0" applyBorder="1" applyAlignment="1" applyProtection="0">
      <alignment horizontal="center" vertical="bottom"/>
    </xf>
    <xf numFmtId="61" fontId="22" borderId="33" applyNumberFormat="1" applyFont="1" applyFill="0" applyBorder="1" applyAlignment="1" applyProtection="0">
      <alignment horizontal="center" vertical="bottom"/>
    </xf>
    <xf numFmtId="61" fontId="5" borderId="29" applyNumberFormat="1" applyFont="1" applyFill="0" applyBorder="1" applyAlignment="1" applyProtection="0">
      <alignment vertical="bottom"/>
    </xf>
    <xf numFmtId="61" fontId="5" borderId="44" applyNumberFormat="1" applyFont="1" applyFill="0" applyBorder="1" applyAlignment="1" applyProtection="0">
      <alignment horizontal="center" vertical="bottom"/>
    </xf>
    <xf numFmtId="61" fontId="22" borderId="3" applyNumberFormat="1" applyFont="1" applyFill="0" applyBorder="1" applyAlignment="1" applyProtection="0">
      <alignment horizontal="center" vertical="bottom"/>
    </xf>
    <xf numFmtId="61" fontId="5" fillId="6" borderId="35" applyNumberFormat="1" applyFont="1" applyFill="1" applyBorder="1" applyAlignment="1" applyProtection="0">
      <alignment horizontal="center" vertical="bottom"/>
    </xf>
    <xf numFmtId="61" fontId="5" fillId="6" borderId="5" applyNumberFormat="1" applyFont="1" applyFill="1" applyBorder="1" applyAlignment="1" applyProtection="0">
      <alignment horizontal="center" vertical="bottom"/>
    </xf>
    <xf numFmtId="61" fontId="22" borderId="45" applyNumberFormat="1" applyFont="1" applyFill="0" applyBorder="1" applyAlignment="1" applyProtection="0">
      <alignment horizontal="center" vertical="bottom"/>
    </xf>
    <xf numFmtId="61" fontId="22" borderId="46" applyNumberFormat="1" applyFont="1" applyFill="0" applyBorder="1" applyAlignment="1" applyProtection="0">
      <alignment horizontal="center" vertical="bottom"/>
    </xf>
    <xf numFmtId="9" fontId="5" borderId="25" applyNumberFormat="1" applyFont="1" applyFill="0" applyBorder="1" applyAlignment="1" applyProtection="0">
      <alignment vertical="bottom"/>
    </xf>
    <xf numFmtId="61" fontId="22" borderId="47" applyNumberFormat="1" applyFont="1" applyFill="0" applyBorder="1" applyAlignment="1" applyProtection="0">
      <alignment horizontal="center" vertical="bottom"/>
    </xf>
    <xf numFmtId="61" fontId="5" borderId="27" applyNumberFormat="1" applyFont="1" applyFill="0" applyBorder="1" applyAlignment="1" applyProtection="0">
      <alignment vertical="bottom"/>
    </xf>
    <xf numFmtId="0" fontId="5" fillId="8" borderId="5" applyNumberFormat="1" applyFont="1" applyFill="1" applyBorder="1" applyAlignment="1" applyProtection="0">
      <alignment vertical="bottom"/>
    </xf>
    <xf numFmtId="61" fontId="22" borderId="48" applyNumberFormat="1" applyFont="1" applyFill="0" applyBorder="1" applyAlignment="1" applyProtection="0">
      <alignment horizontal="center" vertical="bottom"/>
    </xf>
    <xf numFmtId="61" fontId="5" borderId="25" applyNumberFormat="1" applyFont="1" applyFill="0" applyBorder="1" applyAlignment="1" applyProtection="0">
      <alignment horizontal="center" vertical="bottom"/>
    </xf>
    <xf numFmtId="61" fontId="22" borderId="1" applyNumberFormat="1" applyFont="1" applyFill="0" applyBorder="1" applyAlignment="1" applyProtection="0">
      <alignment horizontal="center" vertical="bottom"/>
    </xf>
    <xf numFmtId="0" fontId="5" borderId="49" applyNumberFormat="0" applyFont="1" applyFill="0" applyBorder="1" applyAlignment="1" applyProtection="0">
      <alignment vertical="bottom"/>
    </xf>
    <xf numFmtId="61" fontId="5" borderId="31" applyNumberFormat="1" applyFont="1" applyFill="0" applyBorder="1" applyAlignment="1" applyProtection="0">
      <alignment horizontal="center" vertical="bottom"/>
    </xf>
    <xf numFmtId="0" fontId="5" applyNumberFormat="1" applyFont="1" applyFill="0" applyBorder="0" applyAlignment="1" applyProtection="0">
      <alignment vertical="bottom"/>
    </xf>
    <xf numFmtId="0" fontId="5" borderId="33" applyNumberFormat="0" applyFont="1" applyFill="0" applyBorder="1" applyAlignment="1" applyProtection="0">
      <alignment vertical="bottom"/>
    </xf>
    <xf numFmtId="0" fontId="17" fillId="9" borderId="5" applyNumberFormat="1" applyFont="1" applyFill="1" applyBorder="1" applyAlignment="1" applyProtection="0">
      <alignment vertical="bottom"/>
    </xf>
    <xf numFmtId="1" fontId="17" fillId="9" borderId="5" applyNumberFormat="1" applyFont="1" applyFill="1" applyBorder="1" applyAlignment="1" applyProtection="0">
      <alignment vertical="bottom"/>
    </xf>
    <xf numFmtId="0" fontId="5" borderId="47" applyNumberFormat="0" applyFont="1" applyFill="0" applyBorder="1" applyAlignment="1" applyProtection="0">
      <alignment vertical="bottom"/>
    </xf>
    <xf numFmtId="0" fontId="17" fillId="10" borderId="5" applyNumberFormat="1" applyFont="1" applyFill="1" applyBorder="1" applyAlignment="1" applyProtection="0">
      <alignment vertical="bottom"/>
    </xf>
    <xf numFmtId="1" fontId="5" fillId="10" borderId="5" applyNumberFormat="1" applyFont="1" applyFill="1" applyBorder="1" applyAlignment="1" applyProtection="0">
      <alignment vertical="bottom"/>
    </xf>
    <xf numFmtId="1" fontId="5" fillId="10" borderId="5" applyNumberFormat="1" applyFont="1" applyFill="1" applyBorder="1" applyAlignment="1" applyProtection="0">
      <alignment horizontal="center" vertical="bottom"/>
    </xf>
    <xf numFmtId="0" fontId="5" fillId="10" borderId="5" applyNumberFormat="1" applyFont="1" applyFill="1" applyBorder="1" applyAlignment="1" applyProtection="0">
      <alignment horizontal="left" vertical="bottom"/>
    </xf>
    <xf numFmtId="0" fontId="5" borderId="3" applyNumberFormat="0" applyFont="1" applyFill="0" applyBorder="1" applyAlignment="1" applyProtection="0">
      <alignment vertical="bottom"/>
    </xf>
    <xf numFmtId="0" fontId="17" fillId="6" borderId="5" applyNumberFormat="1" applyFont="1" applyFill="1" applyBorder="1" applyAlignment="1" applyProtection="0">
      <alignment vertical="bottom"/>
    </xf>
    <xf numFmtId="0" fontId="5" fillId="6" borderId="5" applyNumberFormat="1" applyFont="1" applyFill="1" applyBorder="1" applyAlignment="1" applyProtection="0">
      <alignment horizontal="center" vertical="bottom"/>
    </xf>
    <xf numFmtId="1" fontId="5" borderId="31" applyNumberFormat="1" applyFont="1" applyFill="0" applyBorder="1" applyAlignment="1" applyProtection="0">
      <alignment horizontal="center" vertical="bottom"/>
    </xf>
    <xf numFmtId="65" fontId="22" borderId="31" applyNumberFormat="1" applyFont="1" applyFill="0" applyBorder="1" applyAlignment="1" applyProtection="0">
      <alignment horizontal="center" vertical="bottom"/>
    </xf>
    <xf numFmtId="65" fontId="24" fillId="3" borderId="11" applyNumberFormat="1" applyFont="1" applyFill="1" applyBorder="1" applyAlignment="1" applyProtection="0">
      <alignment horizontal="center" vertical="bottom"/>
    </xf>
    <xf numFmtId="61" fontId="25" fillId="2" borderId="35" applyNumberFormat="1" applyFont="1" applyFill="1" applyBorder="1" applyAlignment="1" applyProtection="0">
      <alignment vertical="bottom"/>
    </xf>
    <xf numFmtId="61" fontId="22" borderId="24" applyNumberFormat="1" applyFont="1" applyFill="0" applyBorder="1" applyAlignment="1" applyProtection="0">
      <alignment vertical="bottom"/>
    </xf>
    <xf numFmtId="61" fontId="22" borderId="31" applyNumberFormat="1" applyFont="1" applyFill="0" applyBorder="1" applyAlignment="1" applyProtection="0">
      <alignment vertical="bottom"/>
    </xf>
    <xf numFmtId="61" fontId="22" borderId="40" applyNumberFormat="1" applyFont="1" applyFill="0" applyBorder="1" applyAlignment="1" applyProtection="0">
      <alignment vertical="bottom"/>
    </xf>
    <xf numFmtId="65" fontId="22" borderId="25" applyNumberFormat="1" applyFont="1" applyFill="0" applyBorder="1" applyAlignment="1" applyProtection="0">
      <alignment horizontal="center" vertical="bottom"/>
    </xf>
    <xf numFmtId="61" fontId="22" borderId="29" applyNumberFormat="1" applyFont="1" applyFill="0" applyBorder="1" applyAlignment="1" applyProtection="0">
      <alignment vertical="bottom"/>
    </xf>
    <xf numFmtId="61" fontId="22" borderId="27" applyNumberFormat="1" applyFont="1" applyFill="0" applyBorder="1" applyAlignment="1" applyProtection="0">
      <alignment vertical="bottom"/>
    </xf>
    <xf numFmtId="61" fontId="22" borderId="25" applyNumberFormat="1" applyFont="1" applyFill="0" applyBorder="1" applyAlignment="1" applyProtection="0">
      <alignment vertical="bottom"/>
    </xf>
    <xf numFmtId="61" fontId="22" borderId="33" applyNumberFormat="1" applyFont="1" applyFill="0" applyBorder="1" applyAlignment="1" applyProtection="0">
      <alignment vertical="bottom"/>
    </xf>
    <xf numFmtId="0" fontId="26" fillId="4" borderId="5" applyNumberFormat="1" applyFont="1" applyFill="1" applyBorder="1" applyAlignment="1" applyProtection="0">
      <alignment vertical="bottom"/>
    </xf>
    <xf numFmtId="0" fontId="22" borderId="29" applyNumberFormat="1" applyFont="1" applyFill="0" applyBorder="1" applyAlignment="1" applyProtection="0">
      <alignment vertical="bottom"/>
    </xf>
    <xf numFmtId="0" fontId="22" borderId="25" applyNumberFormat="1" applyFont="1" applyFill="0" applyBorder="1" applyAlignment="1" applyProtection="0">
      <alignment vertical="bottom"/>
    </xf>
    <xf numFmtId="61" fontId="22" borderId="47" applyNumberFormat="1" applyFont="1" applyFill="0" applyBorder="1" applyAlignment="1" applyProtection="0">
      <alignment vertical="bottom"/>
    </xf>
    <xf numFmtId="61" fontId="25" fillId="2" borderId="5" applyNumberFormat="1" applyFont="1" applyFill="1" applyBorder="1" applyAlignment="1" applyProtection="0">
      <alignment vertical="bottom"/>
    </xf>
    <xf numFmtId="65" fontId="22" borderId="50" applyNumberFormat="1" applyFont="1" applyFill="0" applyBorder="1" applyAlignment="1" applyProtection="0">
      <alignment horizontal="center" vertical="bottom"/>
    </xf>
    <xf numFmtId="61" fontId="25" fillId="2" borderId="12" applyNumberFormat="1" applyFont="1" applyFill="1" applyBorder="1" applyAlignment="1" applyProtection="0">
      <alignment horizontal="center" vertical="bottom"/>
    </xf>
    <xf numFmtId="61" fontId="5" borderId="51" applyNumberFormat="1" applyFont="1" applyFill="0" applyBorder="1" applyAlignment="1" applyProtection="0">
      <alignment horizontal="center" vertical="bottom"/>
    </xf>
    <xf numFmtId="61" fontId="5" borderId="42" applyNumberFormat="1" applyFont="1" applyFill="0" applyBorder="1" applyAlignment="1" applyProtection="0">
      <alignment horizontal="center" vertical="bottom"/>
    </xf>
    <xf numFmtId="65" fontId="22" borderId="52" applyNumberFormat="1" applyFont="1" applyFill="0" applyBorder="1" applyAlignment="1" applyProtection="0">
      <alignment horizontal="center" vertical="bottom"/>
    </xf>
    <xf numFmtId="0" fontId="5" borderId="40" applyNumberFormat="0" applyFont="1" applyFill="0" applyBorder="1" applyAlignment="1" applyProtection="0">
      <alignment vertical="bottom"/>
    </xf>
    <xf numFmtId="65" fontId="22" borderId="49" applyNumberFormat="1" applyFont="1" applyFill="0" applyBorder="1" applyAlignment="1" applyProtection="0">
      <alignment horizontal="center" vertical="bottom"/>
    </xf>
    <xf numFmtId="61" fontId="22" borderId="45" applyNumberFormat="1" applyFont="1" applyFill="0" applyBorder="1" applyAlignment="1" applyProtection="0">
      <alignment vertical="bottom"/>
    </xf>
    <xf numFmtId="61" fontId="22" borderId="46" applyNumberFormat="1" applyFont="1" applyFill="0" applyBorder="1" applyAlignment="1" applyProtection="0">
      <alignment vertical="bottom"/>
    </xf>
    <xf numFmtId="61" fontId="22" borderId="3" applyNumberFormat="1" applyFont="1" applyFill="0" applyBorder="1" applyAlignment="1" applyProtection="0">
      <alignment vertical="bottom"/>
    </xf>
    <xf numFmtId="61" fontId="22" borderId="22" applyNumberFormat="1" applyFont="1" applyFill="0" applyBorder="1" applyAlignment="1" applyProtection="0">
      <alignment vertical="bottom"/>
    </xf>
    <xf numFmtId="0" fontId="22" borderId="3" applyNumberFormat="1" applyFont="1" applyFill="0" applyBorder="1" applyAlignment="1" applyProtection="0">
      <alignment vertical="bottom"/>
    </xf>
    <xf numFmtId="65" fontId="22" borderId="53" applyNumberFormat="1" applyFont="1" applyFill="0" applyBorder="1" applyAlignment="1" applyProtection="0">
      <alignment horizontal="center" vertical="bottom"/>
    </xf>
    <xf numFmtId="0" fontId="26" fillId="4" borderId="5" applyNumberFormat="1" applyFont="1" applyFill="1" applyBorder="1" applyAlignment="1" applyProtection="0">
      <alignment horizontal="center" vertical="bottom"/>
    </xf>
    <xf numFmtId="0" fontId="5" borderId="29" applyNumberFormat="1" applyFont="1" applyFill="0" applyBorder="1" applyAlignment="1" applyProtection="0">
      <alignment vertical="bottom"/>
    </xf>
    <xf numFmtId="0" fontId="22" borderId="27" applyNumberFormat="1" applyFont="1" applyFill="0" applyBorder="1" applyAlignment="1" applyProtection="0">
      <alignment vertical="bottom"/>
    </xf>
    <xf numFmtId="0" fontId="5" borderId="52" applyNumberFormat="0" applyFont="1" applyFill="0" applyBorder="1" applyAlignment="1" applyProtection="0">
      <alignment vertical="bottom"/>
    </xf>
    <xf numFmtId="61" fontId="5" fillId="6" borderId="35" applyNumberFormat="1" applyFont="1" applyFill="1" applyBorder="1" applyAlignment="1" applyProtection="0">
      <alignment vertical="bottom"/>
    </xf>
    <xf numFmtId="61" fontId="5" fillId="6" borderId="5" applyNumberFormat="1" applyFont="1" applyFill="1" applyBorder="1" applyAlignment="1" applyProtection="0">
      <alignment vertical="bottom"/>
    </xf>
    <xf numFmtId="63" fontId="25" fillId="2" borderId="35" applyNumberFormat="1" applyFont="1" applyFill="1" applyBorder="1" applyAlignment="1" applyProtection="0">
      <alignment vertical="bottom"/>
    </xf>
    <xf numFmtId="61" fontId="22" borderId="1" applyNumberFormat="1" applyFont="1" applyFill="0" applyBorder="1" applyAlignment="1" applyProtection="0">
      <alignment vertical="bottom"/>
    </xf>
    <xf numFmtId="0" fontId="5" borderId="50" applyNumberFormat="0" applyFont="1" applyFill="0" applyBorder="1" applyAlignment="1" applyProtection="0">
      <alignment vertical="bottom"/>
    </xf>
    <xf numFmtId="63" fontId="25" fillId="2" borderId="12" applyNumberFormat="1" applyFont="1" applyFill="1" applyBorder="1" applyAlignment="1" applyProtection="0">
      <alignment horizontal="center" vertical="bottom"/>
    </xf>
    <xf numFmtId="63" fontId="5" borderId="51" applyNumberFormat="1" applyFont="1" applyFill="0" applyBorder="1" applyAlignment="1" applyProtection="0">
      <alignment horizontal="center" vertical="bottom"/>
    </xf>
    <xf numFmtId="63" fontId="5" borderId="42" applyNumberFormat="1" applyFont="1" applyFill="0" applyBorder="1" applyAlignment="1" applyProtection="0">
      <alignment horizontal="center" vertical="bottom"/>
    </xf>
    <xf numFmtId="63" fontId="25" fillId="2" borderId="5" applyNumberFormat="1" applyFont="1" applyFill="1" applyBorder="1" applyAlignment="1" applyProtection="0">
      <alignment vertical="bottom"/>
    </xf>
    <xf numFmtId="66" fontId="25" fillId="2" borderId="35" applyNumberFormat="1" applyFont="1" applyFill="1" applyBorder="1" applyAlignment="1" applyProtection="0">
      <alignment vertical="bottom"/>
    </xf>
    <xf numFmtId="0" fontId="22" borderId="24" applyNumberFormat="1" applyFont="1" applyFill="0" applyBorder="1" applyAlignment="1" applyProtection="0">
      <alignment vertical="bottom"/>
    </xf>
    <xf numFmtId="0" fontId="22" borderId="31" applyNumberFormat="1" applyFont="1" applyFill="0" applyBorder="1" applyAlignment="1" applyProtection="0">
      <alignment vertical="bottom"/>
    </xf>
    <xf numFmtId="0" fontId="22" borderId="40" applyNumberFormat="1" applyFont="1" applyFill="0" applyBorder="1" applyAlignment="1" applyProtection="0">
      <alignment vertical="bottom"/>
    </xf>
    <xf numFmtId="0" fontId="5" applyNumberFormat="1" applyFont="1" applyFill="0" applyBorder="0" applyAlignment="1" applyProtection="0">
      <alignment vertical="bottom"/>
    </xf>
    <xf numFmtId="0" fontId="22" fillId="5" borderId="30" applyNumberFormat="1" applyFont="1" applyFill="1" applyBorder="1" applyAlignment="1" applyProtection="0">
      <alignment horizontal="right" vertical="bottom"/>
    </xf>
    <xf numFmtId="67" fontId="5" borderId="25" applyNumberFormat="1" applyFont="1" applyFill="0" applyBorder="1" applyAlignment="1" applyProtection="0">
      <alignment vertical="bottom"/>
    </xf>
    <xf numFmtId="0" fontId="17" borderId="27" applyNumberFormat="1" applyFont="1" applyFill="0" applyBorder="1" applyAlignment="1" applyProtection="0">
      <alignment vertical="bottom"/>
    </xf>
    <xf numFmtId="1" fontId="27" fillId="11" borderId="5" applyNumberFormat="1" applyFont="1" applyFill="1" applyBorder="1" applyAlignment="1" applyProtection="0">
      <alignment vertical="bottom"/>
    </xf>
    <xf numFmtId="0" fontId="5" fillId="12" borderId="5" applyNumberFormat="1" applyFont="1" applyFill="1" applyBorder="1" applyAlignment="1" applyProtection="0">
      <alignment vertical="bottom"/>
    </xf>
    <xf numFmtId="1" fontId="5" fillId="12" borderId="5" applyNumberFormat="1" applyFont="1" applyFill="1" applyBorder="1" applyAlignment="1" applyProtection="0">
      <alignment vertical="bottom"/>
    </xf>
    <xf numFmtId="0" fontId="5" fillId="13" borderId="5" applyNumberFormat="1" applyFont="1" applyFill="1" applyBorder="1" applyAlignment="1" applyProtection="0">
      <alignment vertical="bottom"/>
    </xf>
    <xf numFmtId="1" fontId="5" fillId="13" borderId="5" applyNumberFormat="1" applyFont="1" applyFill="1" applyBorder="1" applyAlignment="1" applyProtection="0">
      <alignment vertical="bottom"/>
    </xf>
    <xf numFmtId="0" fontId="27" fillId="11" borderId="9" applyNumberFormat="1" applyFont="1" applyFill="1" applyBorder="1" applyAlignment="1" applyProtection="0">
      <alignment horizontal="center" vertical="bottom"/>
    </xf>
    <xf numFmtId="0" fontId="5" fillId="12" borderId="9" applyNumberFormat="1" applyFont="1" applyFill="1" applyBorder="1" applyAlignment="1" applyProtection="0">
      <alignment vertical="bottom"/>
    </xf>
    <xf numFmtId="0" fontId="17" fillId="6" borderId="10" applyNumberFormat="1" applyFont="1" applyFill="1" applyBorder="1" applyAlignment="1" applyProtection="0">
      <alignment horizontal="left" vertical="bottom"/>
    </xf>
    <xf numFmtId="0" fontId="24" fillId="3" borderId="11" applyNumberFormat="1" applyFont="1" applyFill="1" applyBorder="1" applyAlignment="1" applyProtection="0">
      <alignment vertical="bottom"/>
    </xf>
    <xf numFmtId="0" fontId="17" borderId="38" applyNumberFormat="1" applyFont="1" applyFill="0" applyBorder="1" applyAlignment="1" applyProtection="0">
      <alignment vertical="bottom"/>
    </xf>
    <xf numFmtId="0" fontId="17" borderId="36" applyNumberFormat="1" applyFont="1" applyFill="0" applyBorder="1" applyAlignment="1" applyProtection="0">
      <alignment vertical="bottom"/>
    </xf>
    <xf numFmtId="0" fontId="17" borderId="31" applyNumberFormat="1" applyFont="1" applyFill="0" applyBorder="1" applyAlignment="1" applyProtection="0">
      <alignment vertical="bottom"/>
    </xf>
    <xf numFmtId="0" fontId="17" borderId="54" applyNumberFormat="1" applyFont="1" applyFill="0" applyBorder="1" applyAlignment="1" applyProtection="0">
      <alignment vertical="bottom"/>
    </xf>
    <xf numFmtId="0" fontId="17" borderId="55" applyNumberFormat="1" applyFont="1" applyFill="0" applyBorder="1" applyAlignment="1" applyProtection="0">
      <alignment vertical="bottom"/>
    </xf>
    <xf numFmtId="0" fontId="7" borderId="36" applyNumberFormat="1" applyFont="1" applyFill="0" applyBorder="1" applyAlignment="1" applyProtection="0">
      <alignment horizontal="left" vertical="center"/>
    </xf>
    <xf numFmtId="61" fontId="5" borderId="43" applyNumberFormat="1" applyFont="1" applyFill="0" applyBorder="1" applyAlignment="1" applyProtection="0">
      <alignment vertical="bottom"/>
    </xf>
    <xf numFmtId="10" fontId="5" borderId="41" applyNumberFormat="1" applyFont="1" applyFill="0" applyBorder="1" applyAlignment="1" applyProtection="0">
      <alignment vertical="bottom"/>
    </xf>
    <xf numFmtId="10" fontId="24" fillId="3" borderId="11" applyNumberFormat="1" applyFont="1" applyFill="1" applyBorder="1" applyAlignment="1" applyProtection="0">
      <alignment vertical="bottom"/>
    </xf>
    <xf numFmtId="0" fontId="7" borderId="41" applyNumberFormat="1" applyFont="1" applyFill="0" applyBorder="1" applyAlignment="1" applyProtection="0">
      <alignment horizontal="left" vertical="center"/>
    </xf>
    <xf numFmtId="10" fontId="5" borderId="49" applyNumberFormat="1" applyFont="1" applyFill="0" applyBorder="1" applyAlignment="1" applyProtection="0">
      <alignment vertical="bottom"/>
    </xf>
  </cellXfs>
  <cellStyles count="1">
    <cellStyle name="Normal" xfId="0" builtinId="0"/>
  </cellStyles>
  <dxfs count="2">
    <dxf>
      <font>
        <color rgb="ffffffff"/>
      </font>
      <fill>
        <patternFill patternType="solid">
          <fgColor indexed="17"/>
          <bgColor indexed="10"/>
        </patternFill>
      </fill>
    </dxf>
    <dxf>
      <font>
        <color rgb="ff9c0006"/>
      </font>
      <fill>
        <patternFill patternType="solid">
          <fgColor indexed="17"/>
          <bgColor indexed="18"/>
        </patternFill>
      </fill>
    </dxf>
  </dxfs>
  <tableStyles count="0"/>
  <colors>
    <indexedColors>
      <rgbColor rgb="ff000000"/>
      <rgbColor rgb="ffffffff"/>
      <rgbColor rgb="ffff0000"/>
      <rgbColor rgb="ff00ff00"/>
      <rgbColor rgb="ff0000ff"/>
      <rgbColor rgb="ffffff00"/>
      <rgbColor rgb="ffff00ff"/>
      <rgbColor rgb="ff00ffff"/>
      <rgbColor rgb="ff000000"/>
      <rgbColor rgb="fff2f2f2"/>
      <rgbColor rgb="ffffffff"/>
      <rgbColor rgb="ffaaaaaa"/>
      <rgbColor rgb="ff595959"/>
      <rgbColor rgb="ff3f3f3f"/>
      <rgbColor rgb="ff7f7f7f"/>
      <rgbColor rgb="ff006100"/>
      <rgbColor rgb="ffc6efce"/>
      <rgbColor rgb="00000000"/>
      <rgbColor rgb="ffffc7ce"/>
      <rgbColor rgb="ff9c0006"/>
      <rgbColor rgb="fffa7d00"/>
      <rgbColor rgb="ffa5a5a5"/>
      <rgbColor rgb="fffde9d9"/>
      <rgbColor rgb="ffff8001"/>
      <rgbColor rgb="ffd8d8d8"/>
      <rgbColor rgb="ffffff00"/>
      <rgbColor rgb="ffc0504d"/>
      <rgbColor rgb="ffb2b1a8"/>
      <rgbColor rgb="ffdbe5f1"/>
      <rgbColor rgb="ff9c6500"/>
      <rgbColor rgb="ffffeb9c"/>
      <rgbColor rgb="ffd2dae4"/>
      <rgbColor rgb="ffd6d4ca"/>
    </indexedColors>
  </colors>
</styleSheet>
</file>

<file path=xl/_rels/workbook.xml.rels><?xml version="1.0" encoding="UTF-8" standalone="yes"?><Relationships xmlns="http://schemas.openxmlformats.org/package/2006/relationships"><Relationship Id="rId1" Type="http://schemas.openxmlformats.org/officeDocument/2006/relationships/sharedStrings" Target="sharedStrings.xml"/><Relationship Id="rId2" Type="http://schemas.openxmlformats.org/officeDocument/2006/relationships/styles" Target="styles.xml"/><Relationship Id="rId3" Type="http://schemas.openxmlformats.org/officeDocument/2006/relationships/theme" Target="theme/theme1.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 Id="rId9" Type="http://schemas.openxmlformats.org/officeDocument/2006/relationships/worksheet" Target="worksheets/sheet6.xml"/></Relationships>

</file>

<file path=xl/drawings/_rels/drawing1.xml.rels><?xml version="1.0" encoding="UTF-8" standalone="yes"?><Relationships xmlns="http://schemas.openxmlformats.org/package/2006/relationships"><Relationship Id="rId1" Type="http://schemas.openxmlformats.org/officeDocument/2006/relationships/image" Target="../media/image2.png"/><Relationship Id="rId2" Type="http://schemas.openxmlformats.org/officeDocument/2006/relationships/image" Target="../media/image1.jpeg"/><Relationship Id="rId3" Type="http://schemas.openxmlformats.org/officeDocument/2006/relationships/image" Target="../media/image3.png"/><Relationship Id="rId4" Type="http://schemas.openxmlformats.org/officeDocument/2006/relationships/image" Target="../media/image4.png"/></Relationships>

</file>

<file path=xl/drawings/_rels/drawing2.xml.rels><?xml version="1.0" encoding="UTF-8" standalone="yes"?><Relationships xmlns="http://schemas.openxmlformats.org/package/2006/relationships"><Relationship Id="rId1" Type="http://schemas.openxmlformats.org/officeDocument/2006/relationships/image" Target="../media/image3.png"/><Relationship Id="rId2" Type="http://schemas.openxmlformats.org/officeDocument/2006/relationships/image" Target="../media/image4.png"/><Relationship Id="rId3" Type="http://schemas.openxmlformats.org/officeDocument/2006/relationships/image" Target="../media/image1.jpeg"/></Relationships>

</file>

<file path=xl/drawings/drawing1.xml><?xml version="1.0" encoding="utf-8"?>
<xdr:wsDr xmlns:r="http://schemas.openxmlformats.org/officeDocument/2006/relationships" xmlns:a="http://schemas.openxmlformats.org/drawingml/2006/main" xmlns:xdr="http://schemas.openxmlformats.org/drawingml/2006/spreadsheetDrawing">
  <xdr:twoCellAnchor>
    <xdr:from>
      <xdr:col>0</xdr:col>
      <xdr:colOff>0</xdr:colOff>
      <xdr:row>0</xdr:row>
      <xdr:rowOff>0</xdr:rowOff>
    </xdr:from>
    <xdr:to>
      <xdr:col>6</xdr:col>
      <xdr:colOff>114300</xdr:colOff>
      <xdr:row>1</xdr:row>
      <xdr:rowOff>12700</xdr:rowOff>
    </xdr:to>
    <xdr:pic>
      <xdr:nvPicPr>
        <xdr:cNvPr id="2" name="image1.png"/>
        <xdr:cNvPicPr/>
      </xdr:nvPicPr>
      <xdr:blipFill>
        <a:blip r:embed="rId1">
          <a:extLst/>
        </a:blip>
        <a:stretch>
          <a:fillRect/>
        </a:stretch>
      </xdr:blipFill>
      <xdr:spPr>
        <a:xfrm>
          <a:off x="0" y="0"/>
          <a:ext cx="10261600" cy="1993900"/>
        </a:xfrm>
        <a:prstGeom prst="rect">
          <a:avLst/>
        </a:prstGeom>
        <a:ln w="12700" cap="flat">
          <a:noFill/>
          <a:miter lim="400000"/>
        </a:ln>
        <a:effectLst/>
      </xdr:spPr>
    </xdr:pic>
    <xdr:clientData/>
  </xdr:twoCellAnchor>
  <xdr:twoCellAnchor>
    <xdr:from>
      <xdr:col>1</xdr:col>
      <xdr:colOff>12700</xdr:colOff>
      <xdr:row>0</xdr:row>
      <xdr:rowOff>0</xdr:rowOff>
    </xdr:from>
    <xdr:to>
      <xdr:col>6</xdr:col>
      <xdr:colOff>12700</xdr:colOff>
      <xdr:row>1</xdr:row>
      <xdr:rowOff>0</xdr:rowOff>
    </xdr:to>
    <xdr:pic>
      <xdr:nvPicPr>
        <xdr:cNvPr id="3" name="image2.jpg"/>
        <xdr:cNvPicPr/>
      </xdr:nvPicPr>
      <xdr:blipFill>
        <a:blip r:embed="rId2">
          <a:alphaModFix amt="75000"/>
          <a:extLst/>
        </a:blip>
        <a:stretch>
          <a:fillRect/>
        </a:stretch>
      </xdr:blipFill>
      <xdr:spPr>
        <a:xfrm>
          <a:off x="2616200" y="0"/>
          <a:ext cx="7543800" cy="1981200"/>
        </a:xfrm>
        <a:prstGeom prst="rect">
          <a:avLst/>
        </a:prstGeom>
        <a:ln w="12700" cap="flat">
          <a:noFill/>
          <a:miter lim="400000"/>
        </a:ln>
        <a:effectLst/>
      </xdr:spPr>
    </xdr:pic>
    <xdr:clientData/>
  </xdr:twoCellAnchor>
  <xdr:twoCellAnchor>
    <xdr:from>
      <xdr:col>0</xdr:col>
      <xdr:colOff>0</xdr:colOff>
      <xdr:row>0</xdr:row>
      <xdr:rowOff>0</xdr:rowOff>
    </xdr:from>
    <xdr:to>
      <xdr:col>0</xdr:col>
      <xdr:colOff>2095500</xdr:colOff>
      <xdr:row>1</xdr:row>
      <xdr:rowOff>0</xdr:rowOff>
    </xdr:to>
    <xdr:pic>
      <xdr:nvPicPr>
        <xdr:cNvPr id="4" name="image3.png"/>
        <xdr:cNvPicPr/>
      </xdr:nvPicPr>
      <xdr:blipFill>
        <a:blip r:embed="rId3">
          <a:extLst/>
        </a:blip>
        <a:stretch>
          <a:fillRect/>
        </a:stretch>
      </xdr:blipFill>
      <xdr:spPr>
        <a:xfrm>
          <a:off x="0" y="0"/>
          <a:ext cx="2095500" cy="1981200"/>
        </a:xfrm>
        <a:prstGeom prst="rect">
          <a:avLst/>
        </a:prstGeom>
        <a:ln w="12700" cap="flat">
          <a:noFill/>
          <a:miter lim="400000"/>
        </a:ln>
        <a:effectLst/>
      </xdr:spPr>
    </xdr:pic>
    <xdr:clientData/>
  </xdr:twoCellAnchor>
  <xdr:twoCellAnchor>
    <xdr:from>
      <xdr:col>0</xdr:col>
      <xdr:colOff>0</xdr:colOff>
      <xdr:row>1</xdr:row>
      <xdr:rowOff>215900</xdr:rowOff>
    </xdr:from>
    <xdr:to>
      <xdr:col>0</xdr:col>
      <xdr:colOff>2095500</xdr:colOff>
      <xdr:row>8</xdr:row>
      <xdr:rowOff>114300</xdr:rowOff>
    </xdr:to>
    <xdr:pic>
      <xdr:nvPicPr>
        <xdr:cNvPr id="5" name="image4.png"/>
        <xdr:cNvPicPr/>
      </xdr:nvPicPr>
      <xdr:blipFill>
        <a:blip r:embed="rId4">
          <a:extLst/>
        </a:blip>
        <a:stretch>
          <a:fillRect/>
        </a:stretch>
      </xdr:blipFill>
      <xdr:spPr>
        <a:xfrm>
          <a:off x="0" y="2197100"/>
          <a:ext cx="2095500" cy="1803400"/>
        </a:xfrm>
        <a:prstGeom prst="rect">
          <a:avLst/>
        </a:prstGeom>
        <a:ln w="12700" cap="flat">
          <a:noFill/>
          <a:miter lim="400000"/>
        </a:ln>
        <a:effectLst/>
      </xdr:spPr>
    </xdr:pic>
    <xdr:clientData/>
  </xdr:twoCellAnchor>
  <xdr:twoCellAnchor>
    <xdr:from>
      <xdr:col>1</xdr:col>
      <xdr:colOff>126999</xdr:colOff>
      <xdr:row>0</xdr:row>
      <xdr:rowOff>1104900</xdr:rowOff>
    </xdr:from>
    <xdr:to>
      <xdr:col>2</xdr:col>
      <xdr:colOff>3092571</xdr:colOff>
      <xdr:row>0</xdr:row>
      <xdr:rowOff>1925701</xdr:rowOff>
    </xdr:to>
    <xdr:sp>
      <xdr:nvSpPr>
        <xdr:cNvPr id="6" name="Shape 6"/>
        <xdr:cNvSpPr/>
      </xdr:nvSpPr>
      <xdr:spPr>
        <a:xfrm>
          <a:off x="2730499" y="1104899"/>
          <a:ext cx="3156073" cy="820802"/>
        </a:xfrm>
        <a:prstGeom prst="rect">
          <a:avLst/>
        </a:prstGeom>
        <a:noFill/>
        <a:ln w="12700" cap="flat">
          <a:noFill/>
          <a:miter lim="400000"/>
        </a:ln>
        <a:effectLst/>
        <a:extLst>
          <a:ext uri="{C572A759-6A51-4108-AA02-DFA0A04FC94B}">
            <ma14:wrappingTextBoxFlag xmlns:ma14="http://schemas.microsoft.com/office/mac/drawingml/2011/main" val="1"/>
          </a:ext>
        </a:extLst>
      </xdr:spPr>
      <xdr:txBody>
        <a:bodyPr wrap="none" lIns="45719" tIns="45719" rIns="45719" bIns="45719" numCol="1" anchor="t">
          <a:spAutoFit/>
        </a:bodyPr>
        <a:lstStyle/>
        <a:p>
          <a:pPr lvl="0" marL="0" marR="0" indent="0" algn="l" defTabSz="914400">
            <a:lnSpc>
              <a:spcPct val="100000"/>
            </a:lnSpc>
            <a:spcBef>
              <a:spcPts val="0"/>
            </a:spcBef>
            <a:spcAft>
              <a:spcPts val="0"/>
            </a:spcAft>
            <a:buClrTx/>
            <a:buSzTx/>
            <a:buFontTx/>
            <a:buNone/>
            <a:tabLst/>
          </a:pPr>
          <a:r>
            <a:rPr b="0" baseline="0" cap="none" i="0" spc="0" strike="noStrike" sz="2800" u="none">
              <a:ln>
                <a:noFill/>
              </a:ln>
              <a:solidFill>
                <a:srgbClr val="F2F2F2"/>
              </a:solidFill>
              <a:uFillTx/>
              <a:latin typeface="Gill Sans Light"/>
              <a:ea typeface="Gill Sans Light"/>
              <a:cs typeface="Gill Sans Light"/>
              <a:sym typeface="Gill Sans Light"/>
            </a:rPr>
            <a:t>Calculator</a:t>
          </a:r>
          <a:endParaRPr b="0" baseline="0" cap="none" i="0" spc="0" strike="noStrike" sz="1100" u="none">
            <a:ln>
              <a:noFill/>
            </a:ln>
            <a:solidFill>
              <a:srgbClr val="000000"/>
            </a:solidFill>
            <a:uFillTx/>
            <a:latin typeface="Calibri"/>
            <a:ea typeface="Calibri"/>
            <a:cs typeface="Calibri"/>
            <a:sym typeface="Calibri"/>
          </a:endParaRPr>
        </a:p>
        <a:p>
          <a:pPr lvl="0" marL="0" marR="0" indent="0" algn="l" defTabSz="914400">
            <a:lnSpc>
              <a:spcPct val="100000"/>
            </a:lnSpc>
            <a:spcBef>
              <a:spcPts val="0"/>
            </a:spcBef>
            <a:spcAft>
              <a:spcPts val="0"/>
            </a:spcAft>
            <a:buClrTx/>
            <a:buSzTx/>
            <a:buFontTx/>
            <a:buNone/>
            <a:tabLst/>
          </a:pPr>
          <a:r>
            <a:rPr b="0" baseline="0" cap="none" i="0" spc="0" strike="noStrike" sz="1400" u="none">
              <a:ln>
                <a:noFill/>
              </a:ln>
              <a:solidFill>
                <a:srgbClr val="FFFFFF"/>
              </a:solidFill>
              <a:uFillTx/>
              <a:latin typeface="Eames Century Modern Light"/>
              <a:ea typeface="Eames Century Modern Light"/>
              <a:cs typeface="Eames Century Modern Light"/>
              <a:sym typeface="Eames Century Modern Light"/>
            </a:rPr>
            <a:t>Consumer Pricing for Wine and Spirits</a:t>
          </a:r>
        </a:p>
      </xdr:txBody>
    </xdr:sp>
    <xdr:clientData/>
  </xdr:twoCellAnchor>
</xdr:wsDr>
</file>

<file path=xl/drawings/drawing2.xml><?xml version="1.0" encoding="utf-8"?>
<xdr:wsDr xmlns:r="http://schemas.openxmlformats.org/officeDocument/2006/relationships" xmlns:a="http://schemas.openxmlformats.org/drawingml/2006/main" xmlns:xdr="http://schemas.openxmlformats.org/drawingml/2006/spreadsheetDrawing">
  <xdr:twoCellAnchor>
    <xdr:from>
      <xdr:col>0</xdr:col>
      <xdr:colOff>0</xdr:colOff>
      <xdr:row>0</xdr:row>
      <xdr:rowOff>0</xdr:rowOff>
    </xdr:from>
    <xdr:to>
      <xdr:col>2</xdr:col>
      <xdr:colOff>444500</xdr:colOff>
      <xdr:row>8</xdr:row>
      <xdr:rowOff>50800</xdr:rowOff>
    </xdr:to>
    <xdr:pic>
      <xdr:nvPicPr>
        <xdr:cNvPr id="8" name="image3.tif"/>
        <xdr:cNvPicPr/>
      </xdr:nvPicPr>
      <xdr:blipFill>
        <a:blip r:embed="rId1">
          <a:extLst/>
        </a:blip>
        <a:stretch>
          <a:fillRect/>
        </a:stretch>
      </xdr:blipFill>
      <xdr:spPr>
        <a:xfrm>
          <a:off x="0" y="0"/>
          <a:ext cx="2349500" cy="1981200"/>
        </a:xfrm>
        <a:prstGeom prst="rect">
          <a:avLst/>
        </a:prstGeom>
        <a:ln w="12700" cap="flat">
          <a:noFill/>
          <a:miter lim="400000"/>
        </a:ln>
        <a:effectLst/>
      </xdr:spPr>
    </xdr:pic>
    <xdr:clientData/>
  </xdr:twoCellAnchor>
  <xdr:twoCellAnchor>
    <xdr:from>
      <xdr:col>0</xdr:col>
      <xdr:colOff>0</xdr:colOff>
      <xdr:row>9</xdr:row>
      <xdr:rowOff>25400</xdr:rowOff>
    </xdr:from>
    <xdr:to>
      <xdr:col>2</xdr:col>
      <xdr:colOff>444500</xdr:colOff>
      <xdr:row>18</xdr:row>
      <xdr:rowOff>25399</xdr:rowOff>
    </xdr:to>
    <xdr:pic>
      <xdr:nvPicPr>
        <xdr:cNvPr id="9" name="image4.tif"/>
        <xdr:cNvPicPr/>
      </xdr:nvPicPr>
      <xdr:blipFill>
        <a:blip r:embed="rId2">
          <a:extLst/>
        </a:blip>
        <a:stretch>
          <a:fillRect/>
        </a:stretch>
      </xdr:blipFill>
      <xdr:spPr>
        <a:xfrm>
          <a:off x="0" y="2197100"/>
          <a:ext cx="2349500" cy="1803400"/>
        </a:xfrm>
        <a:prstGeom prst="rect">
          <a:avLst/>
        </a:prstGeom>
        <a:ln w="12700" cap="flat">
          <a:noFill/>
          <a:miter lim="400000"/>
        </a:ln>
        <a:effectLst/>
      </xdr:spPr>
    </xdr:pic>
    <xdr:clientData/>
  </xdr:twoCellAnchor>
  <xdr:twoCellAnchor>
    <xdr:from>
      <xdr:col>2</xdr:col>
      <xdr:colOff>596900</xdr:colOff>
      <xdr:row>0</xdr:row>
      <xdr:rowOff>0</xdr:rowOff>
    </xdr:from>
    <xdr:to>
      <xdr:col>10</xdr:col>
      <xdr:colOff>596899</xdr:colOff>
      <xdr:row>8</xdr:row>
      <xdr:rowOff>50800</xdr:rowOff>
    </xdr:to>
    <xdr:pic>
      <xdr:nvPicPr>
        <xdr:cNvPr id="10" name="image2.jpg"/>
        <xdr:cNvPicPr/>
      </xdr:nvPicPr>
      <xdr:blipFill>
        <a:blip r:embed="rId3">
          <a:extLst/>
        </a:blip>
        <a:stretch>
          <a:fillRect/>
        </a:stretch>
      </xdr:blipFill>
      <xdr:spPr>
        <a:xfrm>
          <a:off x="2501900" y="0"/>
          <a:ext cx="7569200" cy="1981200"/>
        </a:xfrm>
        <a:prstGeom prst="rect">
          <a:avLst/>
        </a:prstGeom>
        <a:ln w="12700" cap="flat">
          <a:noFill/>
          <a:miter lim="400000"/>
        </a:ln>
        <a:effectLst/>
      </xdr:spPr>
    </xdr:pic>
    <xdr:clientData/>
  </xdr:twoCellAnchor>
  <xdr:twoCellAnchor>
    <xdr:from>
      <xdr:col>2</xdr:col>
      <xdr:colOff>711200</xdr:colOff>
      <xdr:row>4</xdr:row>
      <xdr:rowOff>139699</xdr:rowOff>
    </xdr:from>
    <xdr:to>
      <xdr:col>6</xdr:col>
      <xdr:colOff>206955</xdr:colOff>
      <xdr:row>7</xdr:row>
      <xdr:rowOff>236600</xdr:rowOff>
    </xdr:to>
    <xdr:sp>
      <xdr:nvSpPr>
        <xdr:cNvPr id="11" name="Shape 11"/>
        <xdr:cNvSpPr/>
      </xdr:nvSpPr>
      <xdr:spPr>
        <a:xfrm>
          <a:off x="2616199" y="1104899"/>
          <a:ext cx="3254957" cy="820802"/>
        </a:xfrm>
        <a:prstGeom prst="rect">
          <a:avLst/>
        </a:prstGeom>
        <a:noFill/>
        <a:ln w="12700" cap="flat">
          <a:noFill/>
          <a:miter lim="400000"/>
        </a:ln>
        <a:effectLst/>
        <a:extLst>
          <a:ext uri="{C572A759-6A51-4108-AA02-DFA0A04FC94B}">
            <ma14:wrappingTextBoxFlag xmlns:ma14="http://schemas.microsoft.com/office/mac/drawingml/2011/main" val="1"/>
          </a:ext>
        </a:extLst>
      </xdr:spPr>
      <xdr:txBody>
        <a:bodyPr wrap="none" lIns="45719" tIns="45719" rIns="45719" bIns="45719" numCol="1" anchor="t">
          <a:spAutoFit/>
        </a:bodyPr>
        <a:lstStyle/>
        <a:p>
          <a:pPr lvl="0" marL="0" marR="0" indent="0" algn="l" defTabSz="914400">
            <a:lnSpc>
              <a:spcPct val="100000"/>
            </a:lnSpc>
            <a:spcBef>
              <a:spcPts val="0"/>
            </a:spcBef>
            <a:spcAft>
              <a:spcPts val="0"/>
            </a:spcAft>
            <a:buClrTx/>
            <a:buSzTx/>
            <a:buFontTx/>
            <a:buNone/>
            <a:tabLst/>
          </a:pPr>
          <a:r>
            <a:rPr b="0" baseline="0" cap="none" i="0" spc="0" strike="noStrike" sz="2800" u="none">
              <a:ln>
                <a:noFill/>
              </a:ln>
              <a:solidFill>
                <a:srgbClr val="F2F2F2"/>
              </a:solidFill>
              <a:uFillTx/>
              <a:latin typeface="Gill Sans Light"/>
              <a:ea typeface="Gill Sans Light"/>
              <a:cs typeface="Gill Sans Light"/>
              <a:sym typeface="Gill Sans Light"/>
            </a:rPr>
            <a:t>Instructions</a:t>
          </a:r>
          <a:endParaRPr b="0" baseline="0" cap="none" i="0" spc="0" strike="noStrike" sz="1100" u="none">
            <a:ln>
              <a:noFill/>
            </a:ln>
            <a:solidFill>
              <a:srgbClr val="000000"/>
            </a:solidFill>
            <a:uFillTx/>
            <a:latin typeface="Calibri"/>
            <a:ea typeface="Calibri"/>
            <a:cs typeface="Calibri"/>
            <a:sym typeface="Calibri"/>
          </a:endParaRPr>
        </a:p>
        <a:p>
          <a:pPr lvl="0" marL="0" marR="0" indent="0" algn="l" defTabSz="914400">
            <a:lnSpc>
              <a:spcPct val="100000"/>
            </a:lnSpc>
            <a:spcBef>
              <a:spcPts val="0"/>
            </a:spcBef>
            <a:spcAft>
              <a:spcPts val="0"/>
            </a:spcAft>
            <a:buClrTx/>
            <a:buSzTx/>
            <a:buFontTx/>
            <a:buNone/>
            <a:tabLst/>
          </a:pPr>
          <a:r>
            <a:rPr b="0" baseline="0" cap="none" i="0" spc="0" strike="noStrike" sz="1400" u="none">
              <a:ln>
                <a:noFill/>
              </a:ln>
              <a:solidFill>
                <a:srgbClr val="FFFFFF"/>
              </a:solidFill>
              <a:uFillTx/>
              <a:latin typeface="Eames Century Modern Light"/>
              <a:ea typeface="Eames Century Modern Light"/>
              <a:cs typeface="Eames Century Modern Light"/>
              <a:sym typeface="Eames Century Modern Light"/>
            </a:rPr>
            <a:t>Consumer Priceing for Wine and Spirits</a:t>
          </a:r>
        </a:p>
      </xdr:txBody>
    </xdr:sp>
    <xdr:clientData/>
  </xdr:twoCellAnchor>
</xdr:wsDr>
</file>

<file path=xl/theme/_rels/theme1.xml.rels><?xml version="1.0" encoding="UTF-8" standalone="yes"?><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xmlns:r="http://schemas.openxmlformats.org/officeDocument/2006/relationships" name="Blank">
  <a:themeElements>
    <a:clrScheme name="Blank">
      <a:dk1>
        <a:srgbClr val="000000"/>
      </a:dk1>
      <a:lt1>
        <a:srgbClr val="FFFFFF"/>
      </a:lt1>
      <a:dk2>
        <a:srgbClr val="404040"/>
      </a:dk2>
      <a:lt2>
        <a:srgbClr val="BFBFBF"/>
      </a:lt2>
      <a:accent1>
        <a:srgbClr val="499BC9"/>
      </a:accent1>
      <a:accent2>
        <a:srgbClr val="6EC038"/>
      </a:accent2>
      <a:accent3>
        <a:srgbClr val="F1D130"/>
      </a:accent3>
      <a:accent4>
        <a:srgbClr val="FFA93A"/>
      </a:accent4>
      <a:accent5>
        <a:srgbClr val="FF2D21"/>
      </a:accent5>
      <a:accent6>
        <a:srgbClr val="6C2085"/>
      </a:accent6>
      <a:hlink>
        <a:srgbClr val="0000FF"/>
      </a:hlink>
      <a:folHlink>
        <a:srgbClr val="FF00FF"/>
      </a:folHlink>
    </a:clrScheme>
    <a:fontScheme name="Blank">
      <a:majorFont>
        <a:latin typeface="Helvetica"/>
        <a:ea typeface="Helvetica"/>
        <a:cs typeface="Helvetica"/>
      </a:majorFont>
      <a:minorFont>
        <a:latin typeface="Helvetica"/>
        <a:ea typeface="Helvetica"/>
        <a:cs typeface="Helvetic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sx="100000" sy="100000" kx="0" ky="0" algn="b" rotWithShape="0" blurRad="38100" dist="25400" dir="5400000">
              <a:srgbClr val="000000">
                <a:alpha val="50000"/>
              </a:srgbClr>
            </a:outerShdw>
          </a:effectLst>
        </a:effectStyle>
        <a:effectStyle>
          <a:effectLst>
            <a:outerShdw sx="100000" sy="100000" kx="0" ky="0" algn="b" rotWithShape="0" blurRad="38100" dist="25400" dir="5400000">
              <a:srgbClr val="000000">
                <a:alpha val="50000"/>
              </a:srgbClr>
            </a:outerShdw>
          </a:effectLst>
        </a:effectStyle>
        <a:effectStyle>
          <a:effectLst>
            <a:outerShdw sx="100000" sy="100000" kx="0" ky="0" algn="b" rotWithShape="0" blurRad="38100" dist="25400" dir="5400000">
              <a:srgbClr val="000000">
                <a:alpha val="50000"/>
              </a:srgbClr>
            </a:outerShdw>
          </a:effectLst>
        </a:effectStyle>
        <a:effectStyle>
          <a:effectLst>
            <a:outerShdw sx="100000" sy="100000" kx="0" ky="0" algn="b" rotWithShape="0" blurRad="40000" dist="20000" dir="5400000">
              <a:srgbClr val="000000">
                <a:alpha val="38000"/>
              </a:srgbClr>
            </a:outerShdw>
          </a:effectLst>
        </a:effectStyle>
        <a:effectStyle>
          <a:effectLst>
            <a:outerShdw sx="100000" sy="100000" kx="0" ky="0" algn="b" rotWithShape="0" blurRad="40000" dist="23000" dir="5400000">
              <a:srgbClr val="000000">
                <a:alpha val="35000"/>
              </a:srgbClr>
            </a:outerShdw>
          </a:effectLst>
        </a:effectStyle>
        <a:effectStyle>
          <a:effectLst>
            <a:outerShdw sx="100000" sy="100000" kx="0" ky="0" algn="b" rotWithShape="0" blurRad="40000" dist="23000" dir="5400000">
              <a:srgbClr val="000000">
                <a:alpha val="35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lipFill rotWithShape="1">
          <a:blip r:embed="rId1"/>
          <a:srcRect l="0" t="0" r="0" b="0"/>
          <a:tile tx="0" ty="0" sx="100000" sy="100000" flip="none" algn="tl"/>
        </a:blipFill>
        <a:ln w="12700" cap="flat">
          <a:noFill/>
          <a:miter lim="400000"/>
        </a:ln>
        <a:effectLst>
          <a:outerShdw sx="100000" sy="100000" kx="0" ky="0" algn="b" rotWithShape="0" blurRad="38100" dist="25400" dir="5400000">
            <a:srgbClr val="000000">
              <a:alpha val="50000"/>
            </a:srgbClr>
          </a:outerShdw>
        </a:effectLst>
      </a:spPr>
      <a:bodyPr rot="0" spcFirstLastPara="1" vertOverflow="overflow" horzOverflow="overflow" vert="horz" wrap="square" lIns="50800" tIns="50800" rIns="50800" bIns="50800" numCol="1" spcCol="38100" rtlCol="0" anchor="ctr" upright="0">
        <a:spAutoFit/>
      </a:bodyPr>
      <a:lstStyle>
        <a:defPPr marL="0" marR="0" indent="0" algn="ctr" defTabSz="457200" rtl="0" fontAlgn="auto" latinLnBrk="1" hangingPunct="0">
          <a:lnSpc>
            <a:spcPct val="100000"/>
          </a:lnSpc>
          <a:spcBef>
            <a:spcPts val="0"/>
          </a:spcBef>
          <a:spcAft>
            <a:spcPts val="0"/>
          </a:spcAft>
          <a:buClrTx/>
          <a:buSzTx/>
          <a:buFontTx/>
          <a:buNone/>
          <a:tabLst/>
          <a:defRPr b="0" baseline="0" cap="none" i="0" spc="0" strike="noStrike" sz="1200" u="none" kumimoji="0" normalizeH="0">
            <a:ln>
              <a:noFill/>
            </a:ln>
            <a:solidFill>
              <a:srgbClr val="FFFFFF"/>
            </a:solidFill>
            <a:effectLst>
              <a:outerShdw sx="100000" sy="100000" kx="0" ky="0" algn="b" rotWithShape="0" blurRad="25400" dist="23998" dir="2700000">
                <a:srgbClr val="000000">
                  <a:alpha val="31034"/>
                </a:srgbClr>
              </a:outerShdw>
            </a:effectLst>
            <a:uFillTx/>
            <a:latin typeface="+mn-lt"/>
            <a:ea typeface="+mn-ea"/>
            <a:cs typeface="+mn-cs"/>
            <a:sym typeface="Helvetica"/>
          </a:defRPr>
        </a:defPPr>
        <a:lvl1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9pPr>
      </a:lstStyle>
      <a:style>
        <a:lnRef idx="0"/>
        <a:fillRef idx="0"/>
        <a:effectRef idx="0"/>
        <a:fontRef idx="none"/>
      </a:style>
    </a:spDef>
    <a:lnDef>
      <a:spPr>
        <a:noFill/>
        <a:ln w="6350" cap="flat">
          <a:solidFill>
            <a:srgbClr val="000000"/>
          </a:solidFill>
          <a:prstDash val="solid"/>
          <a:miter lim="400000"/>
        </a:ln>
        <a:effectLst/>
      </a:spPr>
      <a:bodyPr rot="0" spcFirstLastPara="1" vertOverflow="overflow" horzOverflow="overflow" vert="horz" wrap="square" lIns="91439" tIns="45719" rIns="91439" bIns="45719" numCol="1" spcCol="38100" rtlCol="0" anchor="t" upright="0">
        <a:noAutofit/>
      </a:bodyPr>
      <a:lstStyle>
        <a:def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9pPr>
      </a:lstStyle>
      <a:style>
        <a:lnRef idx="0"/>
        <a:fillRef idx="0"/>
        <a:effectRef idx="0"/>
        <a:fontRef idx="none"/>
      </a:style>
    </a:lnDef>
    <a:txDef>
      <a:spPr>
        <a:noFill/>
        <a:ln w="12700" cap="flat">
          <a:noFill/>
          <a:miter lim="400000"/>
        </a:ln>
        <a:effectLst/>
      </a:spPr>
      <a:bodyPr rot="0" spcFirstLastPara="1" vertOverflow="overflow" horzOverflow="overflow" vert="horz" wrap="square" lIns="50800" tIns="50800" rIns="50800" bIns="50800" numCol="1" spcCol="38100" rtlCol="0" anchor="t" upright="0">
        <a:spAutoFit/>
      </a:bodyPr>
      <a:lstStyle>
        <a:defPPr marL="0" marR="0" indent="0" algn="l" defTabSz="457200" rtl="0" fontAlgn="auto" latinLnBrk="1" hangingPunct="0">
          <a:lnSpc>
            <a:spcPct val="100000"/>
          </a:lnSpc>
          <a:spcBef>
            <a:spcPts val="0"/>
          </a:spcBef>
          <a:spcAft>
            <a:spcPts val="0"/>
          </a:spcAft>
          <a:buClrTx/>
          <a:buSzTx/>
          <a:buFontTx/>
          <a:buNone/>
          <a:tabLst/>
          <a:defRPr b="0" baseline="0" cap="none" i="0" spc="0" strike="noStrike" sz="1100" u="none" kumimoji="0" normalizeH="0">
            <a:ln>
              <a:noFill/>
            </a:ln>
            <a:solidFill>
              <a:srgbClr val="000000"/>
            </a:solidFill>
            <a:effectLst/>
            <a:uFillTx/>
            <a:latin typeface="+mn-lt"/>
            <a:ea typeface="+mn-ea"/>
            <a:cs typeface="+mn-cs"/>
            <a:sym typeface="Helvetica"/>
          </a:defRPr>
        </a:defPPr>
        <a:lvl1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9pPr>
      </a:lstStyle>
      <a:style>
        <a:lnRef idx="0"/>
        <a:fillRef idx="0"/>
        <a:effectRef idx="0"/>
        <a:fontRef idx="none"/>
      </a:style>
    </a:txDef>
  </a:objectDefaults>
</a:theme>
</file>

<file path=xl/worksheets/_rels/sheet1.xml.rels><?xml version="1.0" encoding="UTF-8" standalone="yes"?><Relationships xmlns="http://schemas.openxmlformats.org/package/2006/relationships"><Relationship Id="rId1" Type="http://schemas.openxmlformats.org/officeDocument/2006/relationships/drawing" Target="../drawings/drawing1.xml"/><Relationship Id="rId2" Type="http://schemas.openxmlformats.org/officeDocument/2006/relationships/vmlDrawing" Target="../drawings/vmlDrawing1.vml"/></Relationships>

</file>

<file path=xl/worksheets/_rels/sheet2.xml.rels><?xml version="1.0" encoding="UTF-8" standalone="yes"?><Relationships xmlns="http://schemas.openxmlformats.org/package/2006/relationships"><Relationship Id="rId1" Type="http://schemas.openxmlformats.org/officeDocument/2006/relationships/drawing" Target="../drawings/drawing2.xml"/><Relationship Id="rId2" Type="http://schemas.openxmlformats.org/officeDocument/2006/relationships/vmlDrawing" Target="../drawings/vmlDrawing2.vml"/></Relationships>

</file>

<file path=xl/worksheets/sheet1.xml><?xml version="1.0" encoding="utf-8"?>
<worksheet xmlns:r="http://schemas.openxmlformats.org/officeDocument/2006/relationships" xmlns="http://schemas.openxmlformats.org/spreadsheetml/2006/main">
  <dimension ref="A1:G52"/>
  <sheetViews>
    <sheetView workbookViewId="0" showGridLines="0" defaultGridColor="1"/>
  </sheetViews>
  <sheetFormatPr defaultColWidth="9.375" defaultRowHeight="16" customHeight="1" outlineLevelRow="0" outlineLevelCol="0"/>
  <cols>
    <col min="1" max="1" width="25.625" style="1" customWidth="1"/>
    <col min="2" max="2" width="1.875" style="1" customWidth="1"/>
    <col min="3" max="3" width="37.875" style="1" customWidth="1"/>
    <col min="4" max="4" width="15.625" style="1" customWidth="1"/>
    <col min="5" max="5" width="1.625" style="1" customWidth="1"/>
    <col min="6" max="6" width="17.25" style="1" customWidth="1"/>
    <col min="7" max="7" width="3.375" style="1" customWidth="1"/>
    <col min="8" max="256" width="9.375" style="1" customWidth="1"/>
  </cols>
  <sheetData>
    <row r="1" ht="156" customHeight="1">
      <c r="A1" s="2"/>
      <c r="B1" s="3"/>
      <c r="C1" s="4"/>
      <c r="D1" s="4"/>
      <c r="E1" s="4"/>
      <c r="F1" s="4"/>
      <c r="G1" s="5"/>
    </row>
    <row r="2" ht="19" customHeight="1">
      <c r="A2" s="6"/>
      <c r="B2" s="7"/>
      <c r="C2" s="8"/>
      <c r="D2" s="8"/>
      <c r="E2" s="8"/>
      <c r="F2" s="8"/>
      <c r="G2" s="9"/>
    </row>
    <row r="3" ht="19" customHeight="1">
      <c r="A3" s="6"/>
      <c r="B3" s="7"/>
      <c r="C3" t="s" s="10">
        <v>0</v>
      </c>
      <c r="D3" s="11"/>
      <c r="E3" s="11"/>
      <c r="F3" s="11"/>
      <c r="G3" s="9"/>
    </row>
    <row r="4" ht="47" customHeight="1">
      <c r="A4" s="6"/>
      <c r="B4" s="7"/>
      <c r="C4" t="s" s="12">
        <v>1</v>
      </c>
      <c r="D4" s="13"/>
      <c r="E4" s="13"/>
      <c r="F4" s="13"/>
      <c r="G4" s="9"/>
    </row>
    <row r="5" ht="19" customHeight="1">
      <c r="A5" s="6"/>
      <c r="B5" s="7"/>
      <c r="C5" s="8"/>
      <c r="D5" s="8"/>
      <c r="E5" s="8"/>
      <c r="F5" s="8"/>
      <c r="G5" s="9"/>
    </row>
    <row r="6" ht="19" customHeight="1">
      <c r="A6" s="6"/>
      <c r="B6" s="7"/>
      <c r="C6" t="s" s="10">
        <v>2</v>
      </c>
      <c r="D6" s="11"/>
      <c r="E6" s="11"/>
      <c r="F6" s="11"/>
      <c r="G6" s="9"/>
    </row>
    <row r="7" ht="8" customHeight="1">
      <c r="A7" s="6"/>
      <c r="B7" s="7"/>
      <c r="C7" s="14"/>
      <c r="D7" s="14"/>
      <c r="E7" s="14"/>
      <c r="F7" s="14"/>
      <c r="G7" s="9"/>
    </row>
    <row r="8" ht="19" customHeight="1">
      <c r="A8" s="6"/>
      <c r="B8" s="7"/>
      <c r="C8" t="s" s="15">
        <v>3</v>
      </c>
      <c r="D8" s="16"/>
      <c r="E8" s="8"/>
      <c r="F8" s="8"/>
      <c r="G8" s="9"/>
    </row>
    <row r="9" ht="19" customHeight="1">
      <c r="A9" s="6"/>
      <c r="B9" s="7"/>
      <c r="C9" t="s" s="17">
        <v>4</v>
      </c>
      <c r="D9" s="18">
        <v>750</v>
      </c>
      <c r="E9" s="19"/>
      <c r="F9" t="s" s="20">
        <v>5</v>
      </c>
      <c r="G9" s="9"/>
    </row>
    <row r="10" ht="19" customHeight="1">
      <c r="A10" s="6"/>
      <c r="B10" s="7"/>
      <c r="C10" t="s" s="17">
        <v>6</v>
      </c>
      <c r="D10" s="21">
        <v>0.12</v>
      </c>
      <c r="E10" s="19"/>
      <c r="F10" s="22"/>
      <c r="G10" s="9"/>
    </row>
    <row r="11" ht="19" customHeight="1">
      <c r="A11" s="6"/>
      <c r="B11" s="7"/>
      <c r="C11" t="s" s="17">
        <v>7</v>
      </c>
      <c r="D11" s="18">
        <v>12</v>
      </c>
      <c r="E11" s="19"/>
      <c r="F11" s="22"/>
      <c r="G11" s="9"/>
    </row>
    <row r="12" ht="19" customHeight="1">
      <c r="A12" s="6"/>
      <c r="B12" s="7"/>
      <c r="C12" t="s" s="17">
        <v>8</v>
      </c>
      <c r="D12" t="s" s="18">
        <v>9</v>
      </c>
      <c r="E12" s="19"/>
      <c r="F12" s="22"/>
      <c r="G12" s="9"/>
    </row>
    <row r="13" ht="8" customHeight="1">
      <c r="A13" s="6"/>
      <c r="B13" s="7"/>
      <c r="C13" s="23"/>
      <c r="D13" s="24"/>
      <c r="E13" s="22"/>
      <c r="F13" s="22"/>
      <c r="G13" s="9"/>
    </row>
    <row r="14" ht="19" customHeight="1">
      <c r="A14" s="6"/>
      <c r="B14" s="7"/>
      <c r="C14" t="s" s="17">
        <v>10</v>
      </c>
      <c r="D14" t="s" s="18">
        <v>11</v>
      </c>
      <c r="E14" s="19"/>
      <c r="F14" s="22">
        <f>IF(D12="Spirits",VLOOKUP(D14,'SET.Spirits'!B15:C68,2,1),IF(D34="CONTROL","CONTROL",IF(D12="Wine - Still",VLOOKUP(D14,'SET.WINE'!B15:C67,2),"")))</f>
        <v>0</v>
      </c>
      <c r="G14" s="9"/>
    </row>
    <row r="15" ht="19" customHeight="1">
      <c r="A15" s="6"/>
      <c r="B15" s="7"/>
      <c r="C15" s="8"/>
      <c r="D15" s="25"/>
      <c r="E15" s="22"/>
      <c r="F15" s="26"/>
      <c r="G15" s="9"/>
    </row>
    <row r="16" ht="19" customHeight="1">
      <c r="A16" s="6"/>
      <c r="B16" s="7"/>
      <c r="C16" t="s" s="10">
        <v>12</v>
      </c>
      <c r="D16" s="11"/>
      <c r="E16" s="11"/>
      <c r="F16" s="11"/>
      <c r="G16" s="9"/>
    </row>
    <row r="17" ht="8" customHeight="1">
      <c r="A17" s="6"/>
      <c r="B17" s="7"/>
      <c r="C17" s="27"/>
      <c r="D17" s="28"/>
      <c r="E17" s="28"/>
      <c r="F17" s="28"/>
      <c r="G17" s="9"/>
    </row>
    <row r="18" ht="19" customHeight="1">
      <c r="A18" s="6"/>
      <c r="B18" s="7"/>
      <c r="C18" t="s" s="15">
        <v>13</v>
      </c>
      <c r="D18" t="s" s="29">
        <v>14</v>
      </c>
      <c r="E18" s="22"/>
      <c r="F18" t="s" s="29">
        <v>15</v>
      </c>
      <c r="G18" s="9"/>
    </row>
    <row r="19" ht="19" customHeight="1">
      <c r="A19" s="6"/>
      <c r="B19" s="7"/>
      <c r="C19" t="s" s="17">
        <v>16</v>
      </c>
      <c r="D19" s="30">
        <v>5</v>
      </c>
      <c r="E19" s="31"/>
      <c r="F19" s="32">
        <f>D19*D11</f>
        <v>60</v>
      </c>
      <c r="G19" s="33"/>
    </row>
    <row r="20" ht="17" customHeight="1">
      <c r="A20" s="6"/>
      <c r="B20" s="7"/>
      <c r="C20" t="s" s="17">
        <v>17</v>
      </c>
      <c r="D20" s="34">
        <f>IF(D12="Spirits",2.14*(D9/750)*(D10/0.4),IF(D12="Wine - Still",HLOOKUP(D10,'DATA'!B12:F13,2)*(D9/1000),IF(D12="Wine - Sparkling",'DATA'!C16)*D9/1000))</f>
        <v>0.21</v>
      </c>
      <c r="E20" s="31"/>
      <c r="F20" s="34">
        <f>D20*D11</f>
        <v>2.52</v>
      </c>
      <c r="G20" s="33"/>
    </row>
    <row r="21" ht="19.5" customHeight="1">
      <c r="A21" s="6"/>
      <c r="B21" s="7"/>
      <c r="C21" t="s" s="35">
        <v>18</v>
      </c>
      <c r="D21" s="36">
        <f>SUM(D19:D20)</f>
        <v>5.21</v>
      </c>
      <c r="E21" s="31"/>
      <c r="F21" s="36">
        <f>SUM(F19:F20)</f>
        <v>62.52</v>
      </c>
      <c r="G21" s="33"/>
    </row>
    <row r="22" ht="8" customHeight="1">
      <c r="A22" s="6"/>
      <c r="B22" s="7"/>
      <c r="C22" s="37"/>
      <c r="D22" s="25"/>
      <c r="E22" s="22"/>
      <c r="F22" s="25"/>
      <c r="G22" s="9"/>
    </row>
    <row r="23" ht="19" customHeight="1">
      <c r="A23" s="6"/>
      <c r="B23" s="7"/>
      <c r="C23" t="s" s="15">
        <v>19</v>
      </c>
      <c r="D23" s="38"/>
      <c r="E23" s="22"/>
      <c r="F23" s="22"/>
      <c r="G23" s="9"/>
    </row>
    <row r="24" ht="17" customHeight="1">
      <c r="A24" s="6"/>
      <c r="B24" s="7"/>
      <c r="C24" t="s" s="17">
        <v>20</v>
      </c>
      <c r="D24" s="39">
        <v>0.45</v>
      </c>
      <c r="E24" s="19"/>
      <c r="F24" s="40">
        <f>D24</f>
        <v>0.45</v>
      </c>
      <c r="G24" s="9"/>
    </row>
    <row r="25" ht="19.5" customHeight="1">
      <c r="A25" s="6"/>
      <c r="B25" s="7"/>
      <c r="C25" t="s" s="35">
        <v>21</v>
      </c>
      <c r="D25" s="36">
        <f>(D24/(1-D24))*D21</f>
        <v>4.262727272727273</v>
      </c>
      <c r="E25" s="31"/>
      <c r="F25" s="36">
        <f>(F24/(1-F24))*F21</f>
        <v>51.15272727272727</v>
      </c>
      <c r="G25" s="33"/>
    </row>
    <row r="26" ht="8" customHeight="1">
      <c r="A26" s="6"/>
      <c r="B26" s="7"/>
      <c r="C26" s="8"/>
      <c r="D26" s="41"/>
      <c r="E26" s="8"/>
      <c r="F26" s="41"/>
      <c r="G26" s="9"/>
    </row>
    <row r="27" ht="17" customHeight="1">
      <c r="A27" s="6"/>
      <c r="B27" s="7"/>
      <c r="C27" t="s" s="42">
        <v>22</v>
      </c>
      <c r="D27" s="43">
        <f>D25+D21</f>
        <v>9.472727272727273</v>
      </c>
      <c r="E27" s="44"/>
      <c r="F27" s="43">
        <f>F25+F21</f>
        <v>113.6727272727273</v>
      </c>
      <c r="G27" s="9"/>
    </row>
    <row r="28" ht="19" customHeight="1">
      <c r="A28" s="6"/>
      <c r="B28" s="7"/>
      <c r="C28" s="8"/>
      <c r="D28" s="22"/>
      <c r="E28" s="22"/>
      <c r="F28" s="22"/>
      <c r="G28" s="9"/>
    </row>
    <row r="29" ht="19" customHeight="1">
      <c r="A29" s="6"/>
      <c r="B29" s="7"/>
      <c r="C29" t="s" s="15">
        <v>23</v>
      </c>
      <c r="D29" s="22"/>
      <c r="E29" s="22"/>
      <c r="F29" s="22"/>
      <c r="G29" s="9"/>
    </row>
    <row r="30" ht="19" customHeight="1">
      <c r="A30" s="6"/>
      <c r="B30" s="7"/>
      <c r="C30" t="s" s="15">
        <v>24</v>
      </c>
      <c r="D30" s="45">
        <v>0.35</v>
      </c>
      <c r="E30" s="22"/>
      <c r="F30" s="46">
        <f>D30</f>
        <v>0.35</v>
      </c>
      <c r="G30" s="9"/>
    </row>
    <row r="31" ht="19" customHeight="1">
      <c r="A31" s="6"/>
      <c r="B31" s="7"/>
      <c r="C31" t="s" s="17">
        <v>25</v>
      </c>
      <c r="D31" s="32">
        <f>F31/D11</f>
        <v>0.2083333333333333</v>
      </c>
      <c r="E31" s="47"/>
      <c r="F31" s="48">
        <v>2.5</v>
      </c>
      <c r="G31" s="9"/>
    </row>
    <row r="32" ht="8" customHeight="1">
      <c r="A32" s="6"/>
      <c r="B32" s="7"/>
      <c r="C32" s="23"/>
      <c r="D32" s="49"/>
      <c r="E32" s="22"/>
      <c r="F32" s="46"/>
      <c r="G32" s="9"/>
    </row>
    <row r="33" ht="19" customHeight="1">
      <c r="A33" s="6"/>
      <c r="B33" s="7"/>
      <c r="C33" t="s" s="15">
        <v>26</v>
      </c>
      <c r="D33" s="50"/>
      <c r="E33" s="22"/>
      <c r="F33" s="51"/>
      <c r="G33" s="9"/>
    </row>
    <row r="34" ht="19" customHeight="1">
      <c r="A34" s="6"/>
      <c r="B34" s="7"/>
      <c r="C34" t="s" s="17">
        <v>27</v>
      </c>
      <c r="D34" s="32">
        <f>IF(D12="Spirits",IF(D14="General",'SET.Spirits'!C70,VLOOKUP(D14,'SET.Spirits'!B15:E68,4)),IF(D12="Wine - Still",IF(D14="General",'SET.WINE'!C69,VLOOKUP(D14,'SET.WINE'!B15:H69,7)),IF(D12="Wine - Sparkling",IF(D14="General",'SET.WINE'!C69,VLOOKUP(D14,'SET.WINE'!B15:E67,4)))))</f>
        <v>0.67</v>
      </c>
      <c r="E34" s="31"/>
      <c r="F34" s="32">
        <f>IF(D34="CONTROL","CONTROL",D34*D11)</f>
        <v>8.040000000000001</v>
      </c>
      <c r="G34" s="33"/>
    </row>
    <row r="35" ht="8" customHeight="1">
      <c r="A35" s="6"/>
      <c r="B35" s="7"/>
      <c r="C35" s="23"/>
      <c r="D35" s="52"/>
      <c r="E35" s="8"/>
      <c r="F35" s="52"/>
      <c r="G35" s="9"/>
    </row>
    <row r="36" ht="19.5" customHeight="1">
      <c r="A36" s="6"/>
      <c r="B36" s="7"/>
      <c r="C36" t="s" s="35">
        <v>28</v>
      </c>
      <c r="D36" s="36">
        <f>IF(D34="CONTROL",D27+(D27*D30)+D31,D27+(D27*D30)+D34+D31)</f>
        <v>13.66651515151515</v>
      </c>
      <c r="E36" s="31"/>
      <c r="F36" s="36">
        <f>IF(F34="CONTROL",F27+(F27*F30)+F31,F27+(F27*F30)+F34+F31)</f>
        <v>163.9981818181818</v>
      </c>
      <c r="G36" s="33"/>
    </row>
    <row r="37" ht="19" customHeight="1">
      <c r="A37" s="6"/>
      <c r="B37" s="7"/>
      <c r="C37" s="23"/>
      <c r="D37" s="25"/>
      <c r="E37" s="22"/>
      <c r="F37" s="25"/>
      <c r="G37" s="9"/>
    </row>
    <row r="38" ht="19" customHeight="1">
      <c r="A38" s="6"/>
      <c r="B38" s="7"/>
      <c r="C38" t="s" s="15">
        <v>29</v>
      </c>
      <c r="D38" s="38"/>
      <c r="E38" s="22"/>
      <c r="F38" s="22"/>
      <c r="G38" s="9"/>
    </row>
    <row r="39" ht="19" customHeight="1">
      <c r="A39" s="6"/>
      <c r="B39" s="7"/>
      <c r="C39" t="s" s="17">
        <v>30</v>
      </c>
      <c r="D39" s="53">
        <v>0.35</v>
      </c>
      <c r="E39" s="19"/>
      <c r="F39" s="46">
        <f>D39</f>
        <v>0.35</v>
      </c>
      <c r="G39" s="54"/>
    </row>
    <row r="40" ht="8" customHeight="1">
      <c r="A40" s="6"/>
      <c r="B40" s="7"/>
      <c r="C40" s="23"/>
      <c r="D40" s="25"/>
      <c r="E40" s="22"/>
      <c r="F40" s="46"/>
      <c r="G40" s="54"/>
    </row>
    <row r="41" ht="19" customHeight="1">
      <c r="A41" s="6"/>
      <c r="B41" s="7"/>
      <c r="C41" t="s" s="15">
        <v>31</v>
      </c>
      <c r="D41" s="38"/>
      <c r="E41" s="22"/>
      <c r="F41" s="46"/>
      <c r="G41" s="54"/>
    </row>
    <row r="42" ht="19" customHeight="1">
      <c r="A42" s="6"/>
      <c r="B42" s="7"/>
      <c r="C42" t="s" s="17">
        <v>32</v>
      </c>
      <c r="D42" t="s" s="18">
        <v>33</v>
      </c>
      <c r="E42" s="19"/>
      <c r="F42" s="51"/>
      <c r="G42" s="54"/>
    </row>
    <row r="43" ht="19" customHeight="1">
      <c r="A43" s="6"/>
      <c r="B43" s="7"/>
      <c r="C43" t="s" s="17">
        <v>34</v>
      </c>
      <c r="D43" s="55">
        <f>IF(D42="IGNORE",0,IF(D12="SPIRITS",VLOOKUP(D14,'RETAIL.TAX'!A16:B70,2),VLOOKUP(D14,'RETAIL.TAX'!K17:L70,2)))</f>
        <v>0</v>
      </c>
      <c r="E43" s="56"/>
      <c r="F43" s="32">
        <f>D43*D11</f>
        <v>0</v>
      </c>
      <c r="G43" s="57"/>
    </row>
    <row r="44" ht="8" customHeight="1">
      <c r="A44" s="6"/>
      <c r="B44" s="7"/>
      <c r="C44" s="58"/>
      <c r="D44" s="49"/>
      <c r="E44" s="22"/>
      <c r="F44" s="25"/>
      <c r="G44" s="54"/>
    </row>
    <row r="45" ht="19" customHeight="1">
      <c r="A45" s="6"/>
      <c r="B45" s="7"/>
      <c r="C45" s="58"/>
      <c r="D45" s="58"/>
      <c r="E45" s="22"/>
      <c r="F45" s="22"/>
      <c r="G45" s="54"/>
    </row>
    <row r="46" ht="19" customHeight="1">
      <c r="A46" s="6"/>
      <c r="B46" s="7"/>
      <c r="C46" t="s" s="10">
        <v>35</v>
      </c>
      <c r="D46" s="11"/>
      <c r="E46" s="11"/>
      <c r="F46" s="11"/>
      <c r="G46" s="54"/>
    </row>
    <row r="47" ht="8" customHeight="1">
      <c r="A47" s="6"/>
      <c r="B47" s="7"/>
      <c r="C47" s="27"/>
      <c r="D47" s="28"/>
      <c r="E47" s="28"/>
      <c r="F47" s="28"/>
      <c r="G47" s="54"/>
    </row>
    <row r="48" ht="19" customHeight="1">
      <c r="A48" s="6"/>
      <c r="B48" s="7"/>
      <c r="C48" t="s" s="59">
        <v>36</v>
      </c>
      <c r="D48" s="60">
        <f>D36*(1+D39)+D43</f>
        <v>18.44979545454546</v>
      </c>
      <c r="E48" s="61"/>
      <c r="F48" s="60">
        <f>F36*(1+F39)+F43</f>
        <v>221.3975454545454</v>
      </c>
      <c r="G48" s="54"/>
    </row>
    <row r="49" ht="19" customHeight="1">
      <c r="A49" s="6"/>
      <c r="B49" s="7"/>
      <c r="C49" s="8"/>
      <c r="D49" s="22"/>
      <c r="E49" s="22"/>
      <c r="F49" s="22"/>
      <c r="G49" s="54"/>
    </row>
    <row r="50" ht="20" customHeight="1">
      <c r="A50" s="6"/>
      <c r="B50" s="7"/>
      <c r="C50" s="7"/>
      <c r="D50" s="62"/>
      <c r="E50" s="62"/>
      <c r="F50" s="62"/>
      <c r="G50" s="54"/>
    </row>
    <row r="51" ht="36" customHeight="1">
      <c r="A51" s="6"/>
      <c r="B51" s="7"/>
      <c r="C51" t="s" s="63">
        <v>37</v>
      </c>
      <c r="D51" s="64"/>
      <c r="E51" s="64"/>
      <c r="F51" s="64"/>
      <c r="G51" s="54"/>
    </row>
    <row r="52" ht="20" customHeight="1">
      <c r="A52" s="65"/>
      <c r="B52" s="66"/>
      <c r="C52" s="66"/>
      <c r="D52" s="67"/>
      <c r="E52" s="67"/>
      <c r="F52" s="67"/>
      <c r="G52" s="68"/>
    </row>
  </sheetData>
  <mergeCells count="3">
    <mergeCell ref="C4:F4"/>
    <mergeCell ref="C7:F7"/>
    <mergeCell ref="C51:F51"/>
  </mergeCells>
  <conditionalFormatting sqref="F14">
    <cfRule type="cellIs" dxfId="0" priority="1" operator="equal" stopIfTrue="1">
      <formula>0</formula>
    </cfRule>
    <cfRule type="containsText" dxfId="1" priority="2" stopIfTrue="1" text="CONTROL">
      <formula>NOT(ISERROR(FIND(UPPER("CONTROL"),UPPER(F14))))</formula>
      <formula>"CONTROL"</formula>
    </cfRule>
  </conditionalFormatting>
  <pageMargins left="0.75" right="0.75" top="1" bottom="1" header="0.5" footer="0.5"/>
  <pageSetup firstPageNumber="1" fitToHeight="1" fitToWidth="1" scale="79" useFirstPageNumber="0" orientation="portrait" pageOrder="downThenOver"/>
  <headerFooter>
    <oddFooter>&amp;L&amp;"Helvetica,Regular"&amp;12&amp;K000000	&amp;P</oddFooter>
  </headerFooter>
  <drawing r:id="rId1"/>
  <legacyDrawing r:id="rId2"/>
</worksheet>
</file>

<file path=xl/worksheets/sheet2.xml><?xml version="1.0" encoding="utf-8"?>
<worksheet xmlns:r="http://schemas.openxmlformats.org/officeDocument/2006/relationships" xmlns="http://schemas.openxmlformats.org/spreadsheetml/2006/main">
  <dimension ref="A1:E13"/>
  <sheetViews>
    <sheetView workbookViewId="0" showGridLines="0" defaultGridColor="1"/>
  </sheetViews>
  <sheetFormatPr defaultColWidth="9.375" defaultRowHeight="15" customHeight="1" outlineLevelRow="0" outlineLevelCol="0"/>
  <cols>
    <col min="1" max="1" width="9.375" style="69" customWidth="1"/>
    <col min="2" max="2" width="9.375" style="69" customWidth="1"/>
    <col min="3" max="3" width="8.875" style="69" customWidth="1"/>
    <col min="4" max="4" width="9.375" style="69" customWidth="1"/>
    <col min="5" max="5" width="9.375" style="69" customWidth="1"/>
    <col min="6" max="256" width="9.375" style="69" customWidth="1"/>
  </cols>
  <sheetData>
    <row r="1" ht="19" customHeight="1">
      <c r="A1" s="70"/>
      <c r="B1" s="70"/>
      <c r="C1" s="70"/>
      <c r="D1" s="70"/>
      <c r="E1" s="70"/>
    </row>
    <row r="2" ht="19" customHeight="1">
      <c r="A2" s="70"/>
      <c r="B2" s="70"/>
      <c r="C2" s="70"/>
      <c r="D2" s="70"/>
      <c r="E2" s="70"/>
    </row>
    <row r="3" ht="19" customHeight="1">
      <c r="A3" s="70"/>
      <c r="B3" s="70"/>
      <c r="C3" s="70"/>
      <c r="D3" s="70"/>
      <c r="E3" s="70"/>
    </row>
    <row r="4" ht="19" customHeight="1">
      <c r="A4" s="70"/>
      <c r="B4" s="70"/>
      <c r="C4" s="70"/>
      <c r="D4" s="70"/>
      <c r="E4" s="70"/>
    </row>
    <row r="5" ht="19" customHeight="1">
      <c r="A5" s="70"/>
      <c r="B5" s="70"/>
      <c r="C5" s="70"/>
      <c r="D5" s="70"/>
      <c r="E5" s="70"/>
    </row>
    <row r="6" ht="19" customHeight="1">
      <c r="A6" s="70"/>
      <c r="B6" s="70"/>
      <c r="C6" s="70"/>
      <c r="D6" s="70"/>
      <c r="E6" s="70"/>
    </row>
    <row r="7" ht="19" customHeight="1">
      <c r="A7" s="70"/>
      <c r="B7" s="70"/>
      <c r="C7" s="70"/>
      <c r="D7" s="70"/>
      <c r="E7" s="70"/>
    </row>
    <row r="8" ht="19" customHeight="1">
      <c r="A8" s="70"/>
      <c r="B8" s="70"/>
      <c r="C8" s="70"/>
      <c r="D8" s="70"/>
      <c r="E8" s="70"/>
    </row>
    <row r="9" ht="19" customHeight="1">
      <c r="A9" s="70"/>
      <c r="B9" s="70"/>
      <c r="C9" s="70"/>
      <c r="D9" s="70"/>
      <c r="E9" s="70"/>
    </row>
    <row r="10" ht="19" customHeight="1">
      <c r="A10" s="70"/>
      <c r="B10" s="70"/>
      <c r="C10" s="70"/>
      <c r="D10" s="70"/>
      <c r="E10" s="70"/>
    </row>
    <row r="11" ht="19" customHeight="1">
      <c r="A11" s="70"/>
      <c r="B11" s="70"/>
      <c r="C11" s="70"/>
      <c r="D11" s="70"/>
      <c r="E11" s="70"/>
    </row>
    <row r="12" ht="10" customHeight="1">
      <c r="A12" s="70"/>
      <c r="B12" s="70"/>
      <c r="C12" s="70"/>
      <c r="D12" s="70"/>
      <c r="E12" s="70"/>
    </row>
    <row r="13" ht="19" customHeight="1">
      <c r="A13" s="70"/>
      <c r="B13" s="70"/>
      <c r="C13" s="70"/>
      <c r="D13" t="s" s="71">
        <v>38</v>
      </c>
      <c r="E13" s="70"/>
    </row>
  </sheetData>
  <pageMargins left="0.75" right="0.75" top="1" bottom="1" header="0.5" footer="0.5"/>
  <pageSetup firstPageNumber="1" fitToHeight="1" fitToWidth="1" scale="100" useFirstPageNumber="0" orientation="landscape" pageOrder="downThenOver"/>
  <headerFooter>
    <oddFooter>&amp;L&amp;"Helvetica,Regular"&amp;12&amp;K000000	&amp;P</oddFooter>
  </headerFooter>
  <drawing r:id="rId1"/>
  <legacyDrawing r:id="rId2"/>
</worksheet>
</file>

<file path=xl/worksheets/sheet3.xml><?xml version="1.0" encoding="utf-8"?>
<worksheet xmlns:r="http://schemas.openxmlformats.org/officeDocument/2006/relationships" xmlns="http://schemas.openxmlformats.org/spreadsheetml/2006/main">
  <dimension ref="A1:G81"/>
  <sheetViews>
    <sheetView workbookViewId="0" showGridLines="0" defaultGridColor="1"/>
  </sheetViews>
  <sheetFormatPr defaultColWidth="9.375" defaultRowHeight="15" customHeight="1" outlineLevelRow="0" outlineLevelCol="0"/>
  <cols>
    <col min="1" max="1" width="9.375" style="72" customWidth="1"/>
    <col min="2" max="2" width="9.375" style="72" customWidth="1"/>
    <col min="3" max="3" width="11.875" style="72" customWidth="1"/>
    <col min="4" max="4" width="11.875" style="72" customWidth="1"/>
    <col min="5" max="5" width="11.875" style="72" customWidth="1"/>
    <col min="6" max="6" width="11.875" style="72" customWidth="1"/>
    <col min="7" max="7" width="12.75" style="72" customWidth="1"/>
    <col min="8" max="256" width="9.375" style="72" customWidth="1"/>
  </cols>
  <sheetData>
    <row r="1" ht="19" customHeight="1">
      <c r="A1" s="70"/>
      <c r="B1" s="70"/>
      <c r="C1" s="70"/>
      <c r="D1" s="70"/>
      <c r="E1" s="70"/>
      <c r="F1" s="70"/>
      <c r="G1" s="70"/>
    </row>
    <row r="2" ht="19" customHeight="1">
      <c r="A2" s="70"/>
      <c r="B2" t="s" s="73">
        <v>39</v>
      </c>
      <c r="C2" s="70"/>
      <c r="D2" s="70"/>
      <c r="E2" s="70"/>
      <c r="F2" s="70"/>
      <c r="G2" s="70"/>
    </row>
    <row r="3" ht="19" customHeight="1">
      <c r="A3" s="70"/>
      <c r="B3" t="s" s="74">
        <v>40</v>
      </c>
      <c r="C3" s="70"/>
      <c r="D3" s="70"/>
      <c r="E3" s="70"/>
      <c r="F3" s="70"/>
      <c r="G3" s="70"/>
    </row>
    <row r="4" ht="19" customHeight="1">
      <c r="A4" s="70"/>
      <c r="B4" t="s" s="74">
        <v>9</v>
      </c>
      <c r="C4" s="70"/>
      <c r="D4" s="70"/>
      <c r="E4" s="70"/>
      <c r="F4" s="70"/>
      <c r="G4" s="70"/>
    </row>
    <row r="5" ht="19" customHeight="1">
      <c r="A5" s="70"/>
      <c r="B5" t="s" s="74">
        <v>41</v>
      </c>
      <c r="C5" s="70"/>
      <c r="D5" s="70"/>
      <c r="E5" s="70"/>
      <c r="F5" s="70"/>
      <c r="G5" s="70"/>
    </row>
    <row r="6" ht="19" customHeight="1">
      <c r="A6" s="70"/>
      <c r="B6" s="70"/>
      <c r="C6" s="70"/>
      <c r="D6" s="70"/>
      <c r="E6" s="70"/>
      <c r="F6" s="70"/>
      <c r="G6" s="70"/>
    </row>
    <row r="7" ht="19" customHeight="1">
      <c r="A7" s="70"/>
      <c r="B7" s="70"/>
      <c r="C7" s="70"/>
      <c r="D7" s="70"/>
      <c r="E7" s="70"/>
      <c r="F7" s="70"/>
      <c r="G7" s="70"/>
    </row>
    <row r="8" ht="19" customHeight="1">
      <c r="A8" s="70"/>
      <c r="B8" t="s" s="73">
        <v>42</v>
      </c>
      <c r="C8" s="70"/>
      <c r="D8" s="70"/>
      <c r="E8" s="70"/>
      <c r="F8" s="70"/>
      <c r="G8" s="70"/>
    </row>
    <row r="9" ht="19" customHeight="1">
      <c r="A9" s="70"/>
      <c r="B9" s="75"/>
      <c r="C9" t="s" s="76">
        <v>43</v>
      </c>
      <c r="D9" s="70"/>
      <c r="E9" s="70"/>
      <c r="F9" s="70"/>
      <c r="G9" s="70"/>
    </row>
    <row r="10" ht="19" customHeight="1">
      <c r="A10" s="70"/>
      <c r="B10" t="s" s="74">
        <v>40</v>
      </c>
      <c r="C10" s="77">
        <v>2.14</v>
      </c>
      <c r="D10" s="70"/>
      <c r="E10" s="70"/>
      <c r="F10" s="70"/>
      <c r="G10" s="70"/>
    </row>
    <row r="11" ht="19" customHeight="1">
      <c r="A11" s="70"/>
      <c r="B11" s="70"/>
      <c r="C11" s="70"/>
      <c r="D11" s="70"/>
      <c r="E11" s="70"/>
      <c r="F11" s="70"/>
      <c r="G11" s="70"/>
    </row>
    <row r="12" ht="19" customHeight="1">
      <c r="A12" s="70"/>
      <c r="B12" t="s" s="78">
        <v>44</v>
      </c>
      <c r="C12" s="79">
        <v>0</v>
      </c>
      <c r="D12" s="79">
        <v>0.14</v>
      </c>
      <c r="E12" s="79">
        <v>0.21</v>
      </c>
      <c r="F12" s="79">
        <v>0.24</v>
      </c>
      <c r="G12" s="70"/>
    </row>
    <row r="13" ht="19" customHeight="1">
      <c r="A13" s="70"/>
      <c r="B13" t="s" s="80">
        <v>9</v>
      </c>
      <c r="C13" s="81">
        <v>0.28</v>
      </c>
      <c r="D13" s="82">
        <v>0.4147469</v>
      </c>
      <c r="E13" s="82">
        <v>0.826667</v>
      </c>
      <c r="F13" s="83">
        <v>2.8533333</v>
      </c>
      <c r="G13" t="s" s="84">
        <v>45</v>
      </c>
    </row>
    <row r="14" ht="19" customHeight="1">
      <c r="A14" s="70"/>
      <c r="B14" s="70"/>
      <c r="C14" s="70"/>
      <c r="D14" s="70"/>
      <c r="E14" s="70"/>
      <c r="F14" s="70"/>
      <c r="G14" t="s" s="84">
        <v>46</v>
      </c>
    </row>
    <row r="15" ht="19" customHeight="1">
      <c r="A15" s="70"/>
      <c r="B15" s="70"/>
      <c r="C15" t="s" s="76">
        <v>47</v>
      </c>
      <c r="D15" t="s" s="76">
        <v>48</v>
      </c>
      <c r="E15" s="70"/>
      <c r="F15" s="70"/>
      <c r="G15" s="70"/>
    </row>
    <row r="16" ht="19" customHeight="1">
      <c r="A16" s="70"/>
      <c r="B16" t="s" s="74">
        <v>49</v>
      </c>
      <c r="C16" s="76">
        <v>0.893333</v>
      </c>
      <c r="D16" s="76">
        <v>0.8666667</v>
      </c>
      <c r="E16" s="70"/>
      <c r="F16" s="70"/>
      <c r="G16" s="70"/>
    </row>
    <row r="17" ht="19" customHeight="1">
      <c r="A17" s="70"/>
      <c r="B17" s="70"/>
      <c r="C17" s="70"/>
      <c r="D17" s="70"/>
      <c r="E17" s="70"/>
      <c r="F17" s="70"/>
      <c r="G17" s="70"/>
    </row>
    <row r="18" ht="19" customHeight="1">
      <c r="A18" s="70"/>
      <c r="B18" t="s" s="73">
        <v>50</v>
      </c>
      <c r="C18" t="s" s="76">
        <v>33</v>
      </c>
      <c r="D18" s="70"/>
      <c r="E18" s="70"/>
      <c r="F18" s="70"/>
      <c r="G18" s="70"/>
    </row>
    <row r="19" ht="19" customHeight="1">
      <c r="A19" s="70"/>
      <c r="B19" s="85"/>
      <c r="C19" t="s" s="86">
        <v>51</v>
      </c>
      <c r="D19" s="87"/>
      <c r="E19" s="87"/>
      <c r="F19" s="87"/>
      <c r="G19" s="87"/>
    </row>
    <row r="20" ht="19" customHeight="1">
      <c r="A20" s="70"/>
      <c r="B20" s="70"/>
      <c r="C20" t="s" s="76">
        <v>52</v>
      </c>
      <c r="D20" s="70"/>
      <c r="E20" s="88"/>
      <c r="F20" s="70"/>
      <c r="G20" s="70"/>
    </row>
    <row r="21" ht="19" customHeight="1">
      <c r="A21" s="70"/>
      <c r="B21" s="70"/>
      <c r="C21" s="89"/>
      <c r="D21" s="89"/>
      <c r="E21" s="70"/>
      <c r="F21" s="70"/>
      <c r="G21" s="70"/>
    </row>
    <row r="22" ht="19" customHeight="1">
      <c r="A22" s="70"/>
      <c r="B22" t="s" s="73">
        <v>53</v>
      </c>
      <c r="C22" s="89"/>
      <c r="D22" s="89"/>
      <c r="E22" s="70"/>
      <c r="F22" s="70"/>
      <c r="G22" s="70"/>
    </row>
    <row r="23" ht="19" customHeight="1">
      <c r="A23" s="70"/>
      <c r="B23" t="s" s="90">
        <v>11</v>
      </c>
      <c r="C23" s="89"/>
      <c r="D23" s="89"/>
      <c r="E23" s="70"/>
      <c r="F23" s="70"/>
      <c r="G23" s="70"/>
    </row>
    <row r="24" ht="19" customHeight="1">
      <c r="A24" s="70"/>
      <c r="B24" t="s" s="91">
        <v>54</v>
      </c>
      <c r="C24" s="89"/>
      <c r="D24" s="89"/>
      <c r="E24" s="70"/>
      <c r="F24" s="70"/>
      <c r="G24" s="70"/>
    </row>
    <row r="25" ht="19" customHeight="1">
      <c r="A25" s="70"/>
      <c r="B25" t="s" s="91">
        <v>55</v>
      </c>
      <c r="C25" s="89"/>
      <c r="D25" s="89"/>
      <c r="E25" s="70"/>
      <c r="F25" s="70"/>
      <c r="G25" s="70"/>
    </row>
    <row r="26" ht="19" customHeight="1">
      <c r="A26" s="70"/>
      <c r="B26" t="s" s="91">
        <v>56</v>
      </c>
      <c r="C26" s="89"/>
      <c r="D26" s="89"/>
      <c r="E26" s="70"/>
      <c r="F26" s="70"/>
      <c r="G26" s="70"/>
    </row>
    <row r="27" ht="19" customHeight="1">
      <c r="A27" s="70"/>
      <c r="B27" t="s" s="91">
        <v>57</v>
      </c>
      <c r="C27" s="89"/>
      <c r="D27" s="89"/>
      <c r="E27" s="70"/>
      <c r="F27" s="70"/>
      <c r="G27" s="70"/>
    </row>
    <row r="28" ht="19" customHeight="1">
      <c r="A28" s="70"/>
      <c r="B28" t="s" s="91">
        <v>58</v>
      </c>
      <c r="C28" s="89"/>
      <c r="D28" s="89"/>
      <c r="E28" s="70"/>
      <c r="F28" s="70"/>
      <c r="G28" s="70"/>
    </row>
    <row r="29" ht="19" customHeight="1">
      <c r="A29" s="70"/>
      <c r="B29" t="s" s="91">
        <v>59</v>
      </c>
      <c r="C29" s="89"/>
      <c r="D29" s="89"/>
      <c r="E29" s="70"/>
      <c r="F29" s="70"/>
      <c r="G29" s="70"/>
    </row>
    <row r="30" ht="19" customHeight="1">
      <c r="A30" s="70"/>
      <c r="B30" t="s" s="91">
        <v>60</v>
      </c>
      <c r="C30" s="89"/>
      <c r="D30" s="89"/>
      <c r="E30" s="70"/>
      <c r="F30" s="70"/>
      <c r="G30" s="70"/>
    </row>
    <row r="31" ht="19" customHeight="1">
      <c r="A31" s="70"/>
      <c r="B31" t="s" s="91">
        <v>61</v>
      </c>
      <c r="C31" s="89"/>
      <c r="D31" s="89"/>
      <c r="E31" s="70"/>
      <c r="F31" s="70"/>
      <c r="G31" s="70"/>
    </row>
    <row r="32" ht="19" customHeight="1">
      <c r="A32" s="70"/>
      <c r="B32" t="s" s="91">
        <v>62</v>
      </c>
      <c r="C32" s="89"/>
      <c r="D32" s="89"/>
      <c r="E32" s="70"/>
      <c r="F32" s="70"/>
      <c r="G32" s="70"/>
    </row>
    <row r="33" ht="19" customHeight="1">
      <c r="A33" s="70"/>
      <c r="B33" t="s" s="91">
        <v>63</v>
      </c>
      <c r="C33" s="89"/>
      <c r="D33" s="89"/>
      <c r="E33" s="70"/>
      <c r="F33" s="70"/>
      <c r="G33" s="70"/>
    </row>
    <row r="34" ht="19" customHeight="1">
      <c r="A34" s="70"/>
      <c r="B34" t="s" s="91">
        <v>64</v>
      </c>
      <c r="C34" s="89"/>
      <c r="D34" s="89"/>
      <c r="E34" s="70"/>
      <c r="F34" s="70"/>
      <c r="G34" s="70"/>
    </row>
    <row r="35" ht="19" customHeight="1">
      <c r="A35" s="70"/>
      <c r="B35" t="s" s="91">
        <v>65</v>
      </c>
      <c r="C35" s="89"/>
      <c r="D35" s="89"/>
      <c r="E35" s="70"/>
      <c r="F35" s="70"/>
      <c r="G35" s="70"/>
    </row>
    <row r="36" ht="19" customHeight="1">
      <c r="A36" s="70"/>
      <c r="B36" t="s" s="91">
        <v>66</v>
      </c>
      <c r="C36" s="89"/>
      <c r="D36" s="89"/>
      <c r="E36" s="70"/>
      <c r="F36" s="70"/>
      <c r="G36" s="70"/>
    </row>
    <row r="37" ht="19" customHeight="1">
      <c r="A37" s="70"/>
      <c r="B37" t="s" s="91">
        <v>67</v>
      </c>
      <c r="C37" s="89"/>
      <c r="D37" s="89"/>
      <c r="E37" s="70"/>
      <c r="F37" s="70"/>
      <c r="G37" s="70"/>
    </row>
    <row r="38" ht="19" customHeight="1">
      <c r="A38" s="70"/>
      <c r="B38" t="s" s="91">
        <v>68</v>
      </c>
      <c r="C38" s="89"/>
      <c r="D38" s="89"/>
      <c r="E38" s="70"/>
      <c r="F38" s="70"/>
      <c r="G38" s="70"/>
    </row>
    <row r="39" ht="19" customHeight="1">
      <c r="A39" s="70"/>
      <c r="B39" t="s" s="91">
        <v>69</v>
      </c>
      <c r="C39" s="89"/>
      <c r="D39" s="89"/>
      <c r="E39" s="70"/>
      <c r="F39" s="70"/>
      <c r="G39" s="70"/>
    </row>
    <row r="40" ht="19" customHeight="1">
      <c r="A40" s="70"/>
      <c r="B40" t="s" s="91">
        <v>70</v>
      </c>
      <c r="C40" s="89"/>
      <c r="D40" s="89"/>
      <c r="E40" s="70"/>
      <c r="F40" s="70"/>
      <c r="G40" s="70"/>
    </row>
    <row r="41" ht="19" customHeight="1">
      <c r="A41" s="70"/>
      <c r="B41" t="s" s="91">
        <v>71</v>
      </c>
      <c r="C41" s="89"/>
      <c r="D41" s="89"/>
      <c r="E41" s="70"/>
      <c r="F41" s="70"/>
      <c r="G41" s="70"/>
    </row>
    <row r="42" ht="19" customHeight="1">
      <c r="A42" s="70"/>
      <c r="B42" t="s" s="91">
        <v>72</v>
      </c>
      <c r="C42" s="89"/>
      <c r="D42" s="89"/>
      <c r="E42" s="70"/>
      <c r="F42" s="70"/>
      <c r="G42" s="70"/>
    </row>
    <row r="43" ht="19" customHeight="1">
      <c r="A43" s="70"/>
      <c r="B43" t="s" s="91">
        <v>73</v>
      </c>
      <c r="C43" s="89"/>
      <c r="D43" s="89"/>
      <c r="E43" s="70"/>
      <c r="F43" s="70"/>
      <c r="G43" s="70"/>
    </row>
    <row r="44" ht="19" customHeight="1">
      <c r="A44" s="70"/>
      <c r="B44" t="s" s="91">
        <v>74</v>
      </c>
      <c r="C44" s="89"/>
      <c r="D44" s="89"/>
      <c r="E44" s="70"/>
      <c r="F44" s="70"/>
      <c r="G44" s="70"/>
    </row>
    <row r="45" ht="19" customHeight="1">
      <c r="A45" s="70"/>
      <c r="B45" t="s" s="91">
        <v>75</v>
      </c>
      <c r="C45" s="89"/>
      <c r="D45" s="89"/>
      <c r="E45" s="70"/>
      <c r="F45" s="70"/>
      <c r="G45" s="70"/>
    </row>
    <row r="46" ht="19" customHeight="1">
      <c r="A46" s="70"/>
      <c r="B46" t="s" s="91">
        <v>76</v>
      </c>
      <c r="C46" s="89"/>
      <c r="D46" s="89"/>
      <c r="E46" s="70"/>
      <c r="F46" s="70"/>
      <c r="G46" s="70"/>
    </row>
    <row r="47" ht="19" customHeight="1">
      <c r="A47" s="70"/>
      <c r="B47" t="s" s="91">
        <v>77</v>
      </c>
      <c r="C47" s="89"/>
      <c r="D47" s="89"/>
      <c r="E47" s="70"/>
      <c r="F47" s="70"/>
      <c r="G47" s="70"/>
    </row>
    <row r="48" ht="19" customHeight="1">
      <c r="A48" s="70"/>
      <c r="B48" t="s" s="91">
        <v>78</v>
      </c>
      <c r="C48" s="89"/>
      <c r="D48" s="89"/>
      <c r="E48" s="70"/>
      <c r="F48" s="70"/>
      <c r="G48" s="70"/>
    </row>
    <row r="49" ht="19" customHeight="1">
      <c r="A49" s="70"/>
      <c r="B49" t="s" s="91">
        <v>79</v>
      </c>
      <c r="C49" s="89"/>
      <c r="D49" s="89"/>
      <c r="E49" s="70"/>
      <c r="F49" s="70"/>
      <c r="G49" s="70"/>
    </row>
    <row r="50" ht="19" customHeight="1">
      <c r="A50" s="70"/>
      <c r="B50" t="s" s="91">
        <v>80</v>
      </c>
      <c r="C50" s="89"/>
      <c r="D50" s="89"/>
      <c r="E50" s="70"/>
      <c r="F50" s="70"/>
      <c r="G50" s="70"/>
    </row>
    <row r="51" ht="19" customHeight="1">
      <c r="A51" s="70"/>
      <c r="B51" t="s" s="91">
        <v>81</v>
      </c>
      <c r="C51" s="89"/>
      <c r="D51" s="89"/>
      <c r="E51" s="70"/>
      <c r="F51" s="70"/>
      <c r="G51" s="70"/>
    </row>
    <row r="52" ht="19" customHeight="1">
      <c r="A52" s="70"/>
      <c r="B52" t="s" s="91">
        <v>82</v>
      </c>
      <c r="C52" s="89"/>
      <c r="D52" s="89"/>
      <c r="E52" s="70"/>
      <c r="F52" s="70"/>
      <c r="G52" s="70"/>
    </row>
    <row r="53" ht="19" customHeight="1">
      <c r="A53" s="70"/>
      <c r="B53" t="s" s="91">
        <v>83</v>
      </c>
      <c r="C53" s="89"/>
      <c r="D53" s="89"/>
      <c r="E53" s="70"/>
      <c r="F53" s="70"/>
      <c r="G53" s="70"/>
    </row>
    <row r="54" ht="19" customHeight="1">
      <c r="A54" s="70"/>
      <c r="B54" t="s" s="91">
        <v>84</v>
      </c>
      <c r="C54" s="89"/>
      <c r="D54" s="89"/>
      <c r="E54" s="70"/>
      <c r="F54" s="70"/>
      <c r="G54" s="70"/>
    </row>
    <row r="55" ht="19" customHeight="1">
      <c r="A55" s="70"/>
      <c r="B55" t="s" s="91">
        <v>85</v>
      </c>
      <c r="C55" s="89"/>
      <c r="D55" s="89"/>
      <c r="E55" s="70"/>
      <c r="F55" s="70"/>
      <c r="G55" s="70"/>
    </row>
    <row r="56" ht="19" customHeight="1">
      <c r="A56" s="70"/>
      <c r="B56" t="s" s="91">
        <v>86</v>
      </c>
      <c r="C56" s="89"/>
      <c r="D56" s="89"/>
      <c r="E56" s="70"/>
      <c r="F56" s="70"/>
      <c r="G56" s="70"/>
    </row>
    <row r="57" ht="19" customHeight="1">
      <c r="A57" s="70"/>
      <c r="B57" t="s" s="91">
        <v>87</v>
      </c>
      <c r="C57" s="89"/>
      <c r="D57" s="89"/>
      <c r="E57" s="70"/>
      <c r="F57" s="70"/>
      <c r="G57" s="70"/>
    </row>
    <row r="58" ht="19" customHeight="1">
      <c r="A58" s="70"/>
      <c r="B58" t="s" s="91">
        <v>88</v>
      </c>
      <c r="C58" s="89"/>
      <c r="D58" s="89"/>
      <c r="E58" s="70"/>
      <c r="F58" s="70"/>
      <c r="G58" s="70"/>
    </row>
    <row r="59" ht="19" customHeight="1">
      <c r="A59" s="70"/>
      <c r="B59" t="s" s="91">
        <v>89</v>
      </c>
      <c r="C59" s="89"/>
      <c r="D59" s="89"/>
      <c r="E59" s="70"/>
      <c r="F59" s="70"/>
      <c r="G59" s="70"/>
    </row>
    <row r="60" ht="19" customHeight="1">
      <c r="A60" s="70"/>
      <c r="B60" t="s" s="91">
        <v>90</v>
      </c>
      <c r="C60" s="89"/>
      <c r="D60" s="89"/>
      <c r="E60" s="70"/>
      <c r="F60" s="70"/>
      <c r="G60" s="70"/>
    </row>
    <row r="61" ht="19" customHeight="1">
      <c r="A61" s="70"/>
      <c r="B61" t="s" s="91">
        <v>91</v>
      </c>
      <c r="C61" s="89"/>
      <c r="D61" s="89"/>
      <c r="E61" s="70"/>
      <c r="F61" s="70"/>
      <c r="G61" s="70"/>
    </row>
    <row r="62" ht="19" customHeight="1">
      <c r="A62" s="70"/>
      <c r="B62" t="s" s="91">
        <v>92</v>
      </c>
      <c r="C62" s="89"/>
      <c r="D62" s="89"/>
      <c r="E62" s="70"/>
      <c r="F62" s="70"/>
      <c r="G62" s="70"/>
    </row>
    <row r="63" ht="19" customHeight="1">
      <c r="A63" s="70"/>
      <c r="B63" t="s" s="91">
        <v>93</v>
      </c>
      <c r="C63" s="89"/>
      <c r="D63" s="89"/>
      <c r="E63" s="70"/>
      <c r="F63" s="70"/>
      <c r="G63" s="70"/>
    </row>
    <row r="64" ht="19" customHeight="1">
      <c r="A64" s="70"/>
      <c r="B64" t="s" s="91">
        <v>94</v>
      </c>
      <c r="C64" s="89"/>
      <c r="D64" s="89"/>
      <c r="E64" s="70"/>
      <c r="F64" s="70"/>
      <c r="G64" s="70"/>
    </row>
    <row r="65" ht="19" customHeight="1">
      <c r="A65" s="70"/>
      <c r="B65" t="s" s="91">
        <v>95</v>
      </c>
      <c r="C65" s="89"/>
      <c r="D65" s="89"/>
      <c r="E65" s="70"/>
      <c r="F65" s="70"/>
      <c r="G65" s="70"/>
    </row>
    <row r="66" ht="19" customHeight="1">
      <c r="A66" s="70"/>
      <c r="B66" t="s" s="91">
        <v>96</v>
      </c>
      <c r="C66" s="89"/>
      <c r="D66" s="89"/>
      <c r="E66" s="70"/>
      <c r="F66" s="70"/>
      <c r="G66" s="70"/>
    </row>
    <row r="67" ht="19" customHeight="1">
      <c r="A67" s="70"/>
      <c r="B67" t="s" s="91">
        <v>97</v>
      </c>
      <c r="C67" s="89"/>
      <c r="D67" s="89"/>
      <c r="E67" s="70"/>
      <c r="F67" s="70"/>
      <c r="G67" s="70"/>
    </row>
    <row r="68" ht="19" customHeight="1">
      <c r="A68" s="70"/>
      <c r="B68" t="s" s="91">
        <v>98</v>
      </c>
      <c r="C68" s="89"/>
      <c r="D68" s="89"/>
      <c r="E68" s="70"/>
      <c r="F68" s="70"/>
      <c r="G68" s="70"/>
    </row>
    <row r="69" ht="19" customHeight="1">
      <c r="A69" s="70"/>
      <c r="B69" t="s" s="91">
        <v>99</v>
      </c>
      <c r="C69" s="89"/>
      <c r="D69" s="89"/>
      <c r="E69" s="70"/>
      <c r="F69" s="70"/>
      <c r="G69" s="70"/>
    </row>
    <row r="70" ht="19" customHeight="1">
      <c r="A70" s="70"/>
      <c r="B70" t="s" s="91">
        <v>100</v>
      </c>
      <c r="C70" s="89"/>
      <c r="D70" s="89"/>
      <c r="E70" s="70"/>
      <c r="F70" s="70"/>
      <c r="G70" s="70"/>
    </row>
    <row r="71" ht="19" customHeight="1">
      <c r="A71" s="70"/>
      <c r="B71" t="s" s="91">
        <v>101</v>
      </c>
      <c r="C71" s="89"/>
      <c r="D71" s="89"/>
      <c r="E71" s="70"/>
      <c r="F71" s="70"/>
      <c r="G71" s="70"/>
    </row>
    <row r="72" ht="19" customHeight="1">
      <c r="A72" s="70"/>
      <c r="B72" t="s" s="91">
        <v>102</v>
      </c>
      <c r="C72" s="89"/>
      <c r="D72" s="89"/>
      <c r="E72" s="70"/>
      <c r="F72" s="70"/>
      <c r="G72" s="70"/>
    </row>
    <row r="73" ht="19" customHeight="1">
      <c r="A73" s="70"/>
      <c r="B73" t="s" s="91">
        <v>103</v>
      </c>
      <c r="C73" s="89"/>
      <c r="D73" s="89"/>
      <c r="E73" s="70"/>
      <c r="F73" s="70"/>
      <c r="G73" s="70"/>
    </row>
    <row r="74" ht="19" customHeight="1">
      <c r="A74" s="70"/>
      <c r="B74" t="s" s="91">
        <v>104</v>
      </c>
      <c r="C74" s="89"/>
      <c r="D74" s="89"/>
      <c r="E74" s="70"/>
      <c r="F74" s="70"/>
      <c r="G74" s="70"/>
    </row>
    <row r="75" ht="19" customHeight="1">
      <c r="A75" s="70"/>
      <c r="B75" t="s" s="91">
        <v>105</v>
      </c>
      <c r="C75" s="89"/>
      <c r="D75" s="89"/>
      <c r="E75" s="70"/>
      <c r="F75" s="70"/>
      <c r="G75" s="70"/>
    </row>
    <row r="76" ht="19" customHeight="1">
      <c r="A76" s="70"/>
      <c r="B76" t="s" s="91">
        <v>106</v>
      </c>
      <c r="C76" s="89"/>
      <c r="D76" s="89"/>
      <c r="E76" s="70"/>
      <c r="F76" s="70"/>
      <c r="G76" s="70"/>
    </row>
    <row r="77" ht="19" customHeight="1">
      <c r="A77" s="70"/>
      <c r="B77" t="s" s="91">
        <v>107</v>
      </c>
      <c r="C77" s="89"/>
      <c r="D77" s="89"/>
      <c r="E77" s="70"/>
      <c r="F77" s="70"/>
      <c r="G77" s="70"/>
    </row>
    <row r="78" ht="19" customHeight="1">
      <c r="A78" s="70"/>
      <c r="B78" s="88"/>
      <c r="C78" s="89"/>
      <c r="D78" s="89"/>
      <c r="E78" s="70"/>
      <c r="F78" s="70"/>
      <c r="G78" s="70"/>
    </row>
    <row r="79" ht="19" customHeight="1">
      <c r="A79" s="70"/>
      <c r="B79" s="92"/>
      <c r="C79" s="89"/>
      <c r="D79" s="89"/>
      <c r="E79" s="70"/>
      <c r="F79" s="70"/>
      <c r="G79" s="70"/>
    </row>
    <row r="80" ht="19" customHeight="1">
      <c r="A80" s="70"/>
      <c r="B80" s="88"/>
      <c r="C80" s="89"/>
      <c r="D80" s="89"/>
      <c r="E80" s="70"/>
      <c r="F80" s="70"/>
      <c r="G80" s="70"/>
    </row>
    <row r="81" ht="19" customHeight="1">
      <c r="A81" s="70"/>
      <c r="B81" s="88"/>
      <c r="C81" s="70"/>
      <c r="D81" s="70"/>
      <c r="E81" s="70"/>
      <c r="F81" s="70"/>
      <c r="G81" s="70"/>
    </row>
  </sheetData>
  <pageMargins left="0.75" right="0.75" top="1" bottom="1" header="0.5" footer="0.5"/>
  <pageSetup firstPageNumber="1" fitToHeight="1" fitToWidth="1" scale="100" useFirstPageNumber="0" orientation="portrait" pageOrder="downThenOver"/>
  <headerFooter>
    <oddFooter>&amp;L&amp;"Helvetica,Regular"&amp;12&amp;K000000	&amp;P</oddFooter>
  </headerFooter>
</worksheet>
</file>

<file path=xl/worksheets/sheet4.xml><?xml version="1.0" encoding="utf-8"?>
<worksheet xmlns:r="http://schemas.openxmlformats.org/officeDocument/2006/relationships" xmlns="http://schemas.openxmlformats.org/spreadsheetml/2006/main">
  <dimension ref="A1:AE70"/>
  <sheetViews>
    <sheetView workbookViewId="0" showGridLines="0" defaultGridColor="1"/>
  </sheetViews>
  <sheetFormatPr defaultColWidth="9.375" defaultRowHeight="15" customHeight="1" outlineLevelRow="0" outlineLevelCol="0"/>
  <cols>
    <col min="1" max="1" width="9.375" style="93" customWidth="1"/>
    <col min="2" max="2" width="12.875" style="93" customWidth="1"/>
    <col min="3" max="3" width="13.375" style="93" customWidth="1"/>
    <col min="4" max="4" width="1.75" style="93" customWidth="1"/>
    <col min="5" max="5" width="13.875" style="93" customWidth="1"/>
    <col min="6" max="6" width="1.5" style="93" customWidth="1"/>
    <col min="7" max="7" width="14.625" style="93" customWidth="1"/>
    <col min="8" max="8" width="1.75" style="93" customWidth="1"/>
    <col min="9" max="9" width="11" style="93" customWidth="1"/>
    <col min="10" max="10" width="9.375" style="93" customWidth="1"/>
    <col min="11" max="11" width="9.375" style="93" customWidth="1"/>
    <col min="12" max="12" width="9.5" style="93" customWidth="1"/>
    <col min="13" max="13" width="9.5" style="93" customWidth="1"/>
    <col min="14" max="14" width="9.5" style="93" customWidth="1"/>
    <col min="15" max="15" width="9.5" style="93" customWidth="1"/>
    <col min="16" max="16" width="9.5" style="93" customWidth="1"/>
    <col min="17" max="17" width="9.5" style="93" customWidth="1"/>
    <col min="18" max="18" width="9.5" style="93" customWidth="1"/>
    <col min="19" max="19" width="9.5" style="93" customWidth="1"/>
    <col min="20" max="20" width="9.5" style="93" customWidth="1"/>
    <col min="21" max="21" width="9.5" style="93" customWidth="1"/>
    <col min="22" max="22" width="9.5" style="93" customWidth="1"/>
    <col min="23" max="23" width="9.5" style="93" customWidth="1"/>
    <col min="24" max="24" width="9.5" style="93" customWidth="1"/>
    <col min="25" max="25" width="9.5" style="93" customWidth="1"/>
    <col min="26" max="26" width="26.75" style="93" customWidth="1"/>
    <col min="27" max="27" width="9.375" style="93" customWidth="1"/>
    <col min="28" max="28" width="9.375" style="93" customWidth="1"/>
    <col min="29" max="29" width="9.375" style="93" customWidth="1"/>
    <col min="30" max="30" width="9.375" style="93" customWidth="1"/>
    <col min="31" max="31" width="9.375" style="93" customWidth="1"/>
    <col min="32" max="256" width="9.375" style="93" customWidth="1"/>
  </cols>
  <sheetData>
    <row r="1" ht="25" customHeight="1">
      <c r="A1" t="s" s="94">
        <v>108</v>
      </c>
      <c r="B1" s="70"/>
      <c r="C1" s="70"/>
      <c r="D1" s="70"/>
      <c r="E1" s="70"/>
      <c r="F1" s="70"/>
      <c r="G1" s="70"/>
      <c r="H1" s="70"/>
      <c r="I1" s="70"/>
      <c r="J1" s="70"/>
      <c r="K1" s="70"/>
      <c r="L1" s="95"/>
      <c r="M1" s="95"/>
      <c r="N1" s="95"/>
      <c r="O1" s="95"/>
      <c r="P1" s="95"/>
      <c r="Q1" s="95"/>
      <c r="R1" s="95"/>
      <c r="S1" s="95"/>
      <c r="T1" s="95"/>
      <c r="U1" s="95"/>
      <c r="V1" s="95"/>
      <c r="W1" s="95"/>
      <c r="X1" s="95"/>
      <c r="Y1" s="95"/>
      <c r="Z1" s="70"/>
      <c r="AA1" s="70"/>
      <c r="AB1" s="70"/>
      <c r="AC1" s="70"/>
      <c r="AD1" s="70"/>
      <c r="AE1" s="70"/>
    </row>
    <row r="2" ht="19" customHeight="1">
      <c r="A2" s="96"/>
      <c r="B2" s="96"/>
      <c r="C2" s="96"/>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row>
    <row r="3" ht="16" customHeight="1">
      <c r="A3" t="s" s="97">
        <v>109</v>
      </c>
      <c r="B3" t="s" s="97">
        <v>110</v>
      </c>
      <c r="C3" s="98">
        <f>'Pricing Calculator'!D9</f>
        <v>750</v>
      </c>
      <c r="D3" s="99"/>
      <c r="E3" s="70"/>
      <c r="F3" s="70"/>
      <c r="G3" s="70"/>
      <c r="H3" s="70"/>
      <c r="I3" s="70"/>
      <c r="J3" s="70"/>
      <c r="K3" s="70"/>
      <c r="L3" s="70"/>
      <c r="M3" s="70"/>
      <c r="N3" s="70"/>
      <c r="O3" s="70"/>
      <c r="P3" s="70"/>
      <c r="Q3" s="70"/>
      <c r="R3" s="70"/>
      <c r="S3" s="70"/>
      <c r="T3" s="70"/>
      <c r="U3" s="70"/>
      <c r="V3" s="70"/>
      <c r="W3" s="70"/>
      <c r="X3" s="70"/>
      <c r="Y3" s="70"/>
      <c r="Z3" s="70"/>
      <c r="AA3" s="70"/>
      <c r="AB3" s="70"/>
      <c r="AC3" s="70"/>
      <c r="AD3" s="70"/>
      <c r="AE3" s="70"/>
    </row>
    <row r="4" ht="17" customHeight="1">
      <c r="A4" s="100"/>
      <c r="B4" t="s" s="97">
        <v>6</v>
      </c>
      <c r="C4" s="101">
        <f>'Pricing Calculator'!D10</f>
        <v>0.12</v>
      </c>
      <c r="D4" s="99"/>
      <c r="E4" s="70"/>
      <c r="F4" s="70"/>
      <c r="G4" s="70"/>
      <c r="H4" s="70"/>
      <c r="I4" s="70"/>
      <c r="J4" s="70"/>
      <c r="K4" s="70"/>
      <c r="L4" s="70"/>
      <c r="M4" s="70"/>
      <c r="N4" s="70"/>
      <c r="O4" s="70"/>
      <c r="P4" s="70"/>
      <c r="Q4" s="70"/>
      <c r="R4" s="70"/>
      <c r="S4" s="70"/>
      <c r="T4" s="70"/>
      <c r="U4" s="70"/>
      <c r="V4" s="70"/>
      <c r="W4" s="70"/>
      <c r="X4" s="70"/>
      <c r="Y4" s="70"/>
      <c r="Z4" s="70"/>
      <c r="AA4" s="70"/>
      <c r="AB4" s="70"/>
      <c r="AC4" s="70"/>
      <c r="AD4" s="70"/>
      <c r="AE4" s="70"/>
    </row>
    <row r="5" ht="17" customHeight="1">
      <c r="A5" s="100"/>
      <c r="B5" t="s" s="97">
        <v>111</v>
      </c>
      <c r="C5" s="102">
        <f>'Pricing Calculator'!D11</f>
        <v>12</v>
      </c>
      <c r="D5" s="99"/>
      <c r="E5" s="70"/>
      <c r="F5" s="70"/>
      <c r="G5" s="70"/>
      <c r="H5" s="70"/>
      <c r="I5" s="70"/>
      <c r="J5" s="70"/>
      <c r="K5" s="70"/>
      <c r="L5" s="70"/>
      <c r="M5" s="70"/>
      <c r="N5" s="70"/>
      <c r="O5" s="70"/>
      <c r="P5" s="70"/>
      <c r="Q5" s="70"/>
      <c r="R5" s="70"/>
      <c r="S5" s="70"/>
      <c r="T5" s="70"/>
      <c r="U5" s="70"/>
      <c r="V5" s="70"/>
      <c r="W5" s="70"/>
      <c r="X5" s="70"/>
      <c r="Y5" s="70"/>
      <c r="Z5" s="70"/>
      <c r="AA5" s="70"/>
      <c r="AB5" s="70"/>
      <c r="AC5" s="70"/>
      <c r="AD5" s="70"/>
      <c r="AE5" s="70"/>
    </row>
    <row r="6" ht="17" customHeight="1">
      <c r="A6" s="100"/>
      <c r="B6" t="s" s="97">
        <v>112</v>
      </c>
      <c r="C6" s="103">
        <f>'Pricing Calculator'!D27</f>
        <v>9.472727272727273</v>
      </c>
      <c r="D6" s="99"/>
      <c r="E6" s="70"/>
      <c r="F6" s="70"/>
      <c r="G6" s="70"/>
      <c r="H6" s="70"/>
      <c r="I6" s="70"/>
      <c r="J6" s="70"/>
      <c r="K6" s="70"/>
      <c r="L6" s="70"/>
      <c r="M6" s="70"/>
      <c r="N6" s="70"/>
      <c r="O6" s="70"/>
      <c r="P6" s="70"/>
      <c r="Q6" s="70"/>
      <c r="R6" s="70"/>
      <c r="S6" s="70"/>
      <c r="T6" s="70"/>
      <c r="U6" s="70"/>
      <c r="V6" s="70"/>
      <c r="W6" s="70"/>
      <c r="X6" s="70"/>
      <c r="Y6" s="70"/>
      <c r="Z6" s="70"/>
      <c r="AA6" s="70"/>
      <c r="AB6" s="70"/>
      <c r="AC6" s="70"/>
      <c r="AD6" s="70"/>
      <c r="AE6" s="70"/>
    </row>
    <row r="7" ht="16" customHeight="1">
      <c r="A7" s="104"/>
      <c r="B7" s="104"/>
      <c r="C7" s="105"/>
      <c r="D7" s="70"/>
      <c r="E7" s="70"/>
      <c r="F7" s="70"/>
      <c r="G7" s="70"/>
      <c r="H7" s="70"/>
      <c r="I7" s="70"/>
      <c r="J7" s="70"/>
      <c r="K7" s="70"/>
      <c r="L7" s="70"/>
      <c r="M7" s="70"/>
      <c r="N7" s="70"/>
      <c r="O7" s="70"/>
      <c r="P7" s="70"/>
      <c r="Q7" s="70"/>
      <c r="R7" s="70"/>
      <c r="S7" s="70"/>
      <c r="T7" s="70"/>
      <c r="U7" s="70"/>
      <c r="V7" s="70"/>
      <c r="W7" s="70"/>
      <c r="X7" s="70"/>
      <c r="Y7" s="70"/>
      <c r="Z7" s="70"/>
      <c r="AA7" s="70"/>
      <c r="AB7" s="70"/>
      <c r="AC7" s="70"/>
      <c r="AD7" s="70"/>
      <c r="AE7" s="70"/>
    </row>
    <row r="8" ht="19" customHeight="1">
      <c r="A8" t="s" s="74">
        <v>113</v>
      </c>
      <c r="B8" t="s" s="76">
        <v>114</v>
      </c>
      <c r="C8" t="s" s="76">
        <v>115</v>
      </c>
      <c r="D8" s="70"/>
      <c r="E8" s="70"/>
      <c r="F8" s="70"/>
      <c r="G8" s="70"/>
      <c r="H8" s="70"/>
      <c r="I8" s="70"/>
      <c r="J8" s="70"/>
      <c r="K8" s="70"/>
      <c r="L8" s="70"/>
      <c r="M8" s="70"/>
      <c r="N8" s="70"/>
      <c r="O8" s="70"/>
      <c r="P8" s="70"/>
      <c r="Q8" s="70"/>
      <c r="R8" s="70"/>
      <c r="S8" s="70"/>
      <c r="T8" s="70"/>
      <c r="U8" s="70"/>
      <c r="V8" s="70"/>
      <c r="W8" s="70"/>
      <c r="X8" s="70"/>
      <c r="Y8" s="70"/>
      <c r="Z8" s="70"/>
      <c r="AA8" s="70"/>
      <c r="AB8" s="70"/>
      <c r="AC8" s="70"/>
      <c r="AD8" s="70"/>
      <c r="AE8" s="70"/>
    </row>
    <row r="9" ht="19" customHeight="1">
      <c r="A9" s="70"/>
      <c r="B9" s="76">
        <v>1</v>
      </c>
      <c r="C9" s="76">
        <v>3.78541178</v>
      </c>
      <c r="D9" s="70"/>
      <c r="E9" s="70"/>
      <c r="F9" s="70"/>
      <c r="G9" s="70"/>
      <c r="H9" s="70"/>
      <c r="I9" s="70"/>
      <c r="J9" s="70"/>
      <c r="K9" s="70"/>
      <c r="L9" s="70"/>
      <c r="M9" s="70"/>
      <c r="N9" s="70"/>
      <c r="O9" s="70"/>
      <c r="P9" s="70"/>
      <c r="Q9" s="70"/>
      <c r="R9" s="70"/>
      <c r="S9" s="70"/>
      <c r="T9" s="70"/>
      <c r="U9" s="70"/>
      <c r="V9" s="70"/>
      <c r="W9" s="70"/>
      <c r="X9" s="70"/>
      <c r="Y9" s="70"/>
      <c r="Z9" s="70"/>
      <c r="AA9" s="70"/>
      <c r="AB9" s="70"/>
      <c r="AC9" s="70"/>
      <c r="AD9" s="70"/>
      <c r="AE9" s="70"/>
    </row>
    <row r="10" ht="19" customHeight="1">
      <c r="A10" s="70"/>
      <c r="B10" s="70"/>
      <c r="C10" s="70"/>
      <c r="D10" s="70"/>
      <c r="E10" s="70"/>
      <c r="F10" s="70"/>
      <c r="G10" s="70"/>
      <c r="H10" s="70"/>
      <c r="I10" s="70"/>
      <c r="J10" s="70"/>
      <c r="K10" s="70"/>
      <c r="L10" s="70"/>
      <c r="M10" s="70"/>
      <c r="N10" s="70"/>
      <c r="O10" s="70"/>
      <c r="P10" s="70"/>
      <c r="Q10" s="70"/>
      <c r="R10" s="70"/>
      <c r="S10" s="70"/>
      <c r="T10" s="70"/>
      <c r="U10" s="70"/>
      <c r="V10" s="70"/>
      <c r="W10" s="70"/>
      <c r="X10" s="70"/>
      <c r="Y10" s="70"/>
      <c r="Z10" s="70"/>
      <c r="AA10" s="70"/>
      <c r="AB10" s="70"/>
      <c r="AC10" s="70"/>
      <c r="AD10" s="70"/>
      <c r="AE10" s="70"/>
    </row>
    <row r="11" ht="19" customHeight="1">
      <c r="A11" s="70"/>
      <c r="B11" s="70"/>
      <c r="C11" s="70"/>
      <c r="D11" s="70"/>
      <c r="E11" s="70"/>
      <c r="F11" s="70"/>
      <c r="G11" s="70"/>
      <c r="H11" s="70"/>
      <c r="I11" s="70"/>
      <c r="J11" s="70"/>
      <c r="K11" s="70"/>
      <c r="L11" s="70"/>
      <c r="M11" s="70"/>
      <c r="N11" s="70"/>
      <c r="O11" s="70"/>
      <c r="P11" s="70"/>
      <c r="Q11" s="70"/>
      <c r="R11" s="70"/>
      <c r="S11" s="70"/>
      <c r="T11" s="70"/>
      <c r="U11" s="70"/>
      <c r="V11" s="70"/>
      <c r="W11" s="70"/>
      <c r="X11" s="70"/>
      <c r="Y11" s="70"/>
      <c r="Z11" s="70"/>
      <c r="AA11" s="70"/>
      <c r="AB11" s="70"/>
      <c r="AC11" s="70"/>
      <c r="AD11" s="70"/>
      <c r="AE11" s="70"/>
    </row>
    <row r="12" ht="19" customHeight="1">
      <c r="A12" s="70"/>
      <c r="B12" s="70"/>
      <c r="C12" s="70"/>
      <c r="D12" s="70"/>
      <c r="E12" s="70"/>
      <c r="F12" s="70"/>
      <c r="G12" s="70"/>
      <c r="H12" s="70"/>
      <c r="I12" s="70"/>
      <c r="J12" s="70"/>
      <c r="K12" s="70"/>
      <c r="L12" s="70"/>
      <c r="M12" s="70"/>
      <c r="N12" s="70"/>
      <c r="O12" s="70"/>
      <c r="P12" s="70"/>
      <c r="Q12" s="70"/>
      <c r="R12" s="70"/>
      <c r="S12" s="70"/>
      <c r="T12" s="70"/>
      <c r="U12" s="70"/>
      <c r="V12" s="70"/>
      <c r="W12" s="70"/>
      <c r="X12" s="70"/>
      <c r="Y12" s="70"/>
      <c r="Z12" s="70"/>
      <c r="AA12" s="70"/>
      <c r="AB12" s="70"/>
      <c r="AC12" s="70"/>
      <c r="AD12" s="70"/>
      <c r="AE12" s="70"/>
    </row>
    <row r="13" ht="19" customHeight="1">
      <c r="A13" s="70"/>
      <c r="B13" s="96"/>
      <c r="C13" s="96"/>
      <c r="D13" s="96"/>
      <c r="E13" s="96"/>
      <c r="F13" s="96"/>
      <c r="G13" s="96"/>
      <c r="H13" s="96"/>
      <c r="I13" s="96"/>
      <c r="J13" s="96"/>
      <c r="K13" s="96"/>
      <c r="L13" s="96"/>
      <c r="M13" t="s" s="106">
        <v>116</v>
      </c>
      <c r="N13" s="96"/>
      <c r="O13" s="96"/>
      <c r="P13" s="96"/>
      <c r="Q13" s="96"/>
      <c r="R13" s="96"/>
      <c r="S13" s="96"/>
      <c r="T13" s="96"/>
      <c r="U13" s="96"/>
      <c r="V13" s="96"/>
      <c r="W13" s="96"/>
      <c r="X13" s="96"/>
      <c r="Y13" s="96"/>
      <c r="Z13" s="96"/>
      <c r="AA13" s="70"/>
      <c r="AB13" s="70"/>
      <c r="AC13" s="70"/>
      <c r="AD13" s="70"/>
      <c r="AE13" s="70"/>
    </row>
    <row r="14" ht="19" customHeight="1">
      <c r="A14" s="107">
        <v>1</v>
      </c>
      <c r="B14" t="s" s="108">
        <v>117</v>
      </c>
      <c r="C14" t="s" s="109">
        <v>118</v>
      </c>
      <c r="D14" s="110"/>
      <c r="E14" t="s" s="111">
        <v>119</v>
      </c>
      <c r="F14" s="110"/>
      <c r="G14" t="s" s="111">
        <v>120</v>
      </c>
      <c r="H14" s="110"/>
      <c r="I14" t="s" s="112">
        <v>121</v>
      </c>
      <c r="J14" t="s" s="112">
        <v>122</v>
      </c>
      <c r="K14" t="s" s="112">
        <v>123</v>
      </c>
      <c r="L14" t="s" s="113">
        <v>124</v>
      </c>
      <c r="M14" s="114">
        <v>0</v>
      </c>
      <c r="N14" s="115">
        <v>0.05</v>
      </c>
      <c r="O14" s="115">
        <v>0.06</v>
      </c>
      <c r="P14" s="115">
        <v>0.07000000000000001</v>
      </c>
      <c r="Q14" s="115">
        <v>0.14</v>
      </c>
      <c r="R14" s="115">
        <v>0.15</v>
      </c>
      <c r="S14" s="116">
        <v>0.17259</v>
      </c>
      <c r="T14" s="116">
        <v>0.2</v>
      </c>
      <c r="U14" s="115">
        <v>0.21</v>
      </c>
      <c r="V14" s="115">
        <v>0.24</v>
      </c>
      <c r="W14" s="115">
        <v>0.25</v>
      </c>
      <c r="X14" s="115">
        <v>0.5</v>
      </c>
      <c r="Y14" s="116">
        <v>0.5578</v>
      </c>
      <c r="Z14" t="s" s="112">
        <v>125</v>
      </c>
      <c r="AA14" s="117"/>
      <c r="AB14" s="118"/>
      <c r="AC14" s="118"/>
      <c r="AD14" s="118"/>
      <c r="AE14" s="118"/>
    </row>
    <row r="15" ht="19" customHeight="1">
      <c r="A15" s="119">
        <v>2</v>
      </c>
      <c r="B15" t="s" s="120">
        <v>54</v>
      </c>
      <c r="C15" s="104"/>
      <c r="D15" s="121"/>
      <c r="E15" s="122">
        <f>$C$3*(1/($C$9*1000))*G15</f>
        <v>0.4953225986949298</v>
      </c>
      <c r="F15" s="123"/>
      <c r="G15" s="124">
        <f>HLOOKUP($C$4,$M$14:$X$68,A15)</f>
        <v>2.5</v>
      </c>
      <c r="H15" s="125"/>
      <c r="I15" s="104"/>
      <c r="J15" s="104"/>
      <c r="K15" s="104"/>
      <c r="L15" s="126"/>
      <c r="M15" s="127">
        <v>2.5</v>
      </c>
      <c r="N15" s="128">
        <f>M15</f>
        <v>2.5</v>
      </c>
      <c r="O15" s="129">
        <f>N15</f>
        <v>2.5</v>
      </c>
      <c r="P15" s="129">
        <f>O15</f>
        <v>2.5</v>
      </c>
      <c r="Q15" s="129">
        <f>P15</f>
        <v>2.5</v>
      </c>
      <c r="R15" s="129">
        <f>Q15</f>
        <v>2.5</v>
      </c>
      <c r="S15" s="129">
        <f>R15</f>
        <v>2.5</v>
      </c>
      <c r="T15" s="130">
        <f>S15</f>
        <v>2.5</v>
      </c>
      <c r="U15" s="131">
        <v>12.8</v>
      </c>
      <c r="V15" s="128">
        <f>U15</f>
        <v>12.8</v>
      </c>
      <c r="W15" s="129">
        <f>V15</f>
        <v>12.8</v>
      </c>
      <c r="X15" s="129">
        <f>W15</f>
        <v>12.8</v>
      </c>
      <c r="Y15" s="129">
        <f>X15</f>
        <v>12.8</v>
      </c>
      <c r="Z15" s="132"/>
      <c r="AA15" s="133"/>
      <c r="AB15" s="133"/>
      <c r="AC15" s="133"/>
      <c r="AD15" s="133"/>
      <c r="AE15" s="133"/>
    </row>
    <row r="16" ht="19" customHeight="1">
      <c r="A16" s="119">
        <v>3</v>
      </c>
      <c r="B16" t="s" s="91">
        <v>55</v>
      </c>
      <c r="C16" t="s" s="77">
        <v>126</v>
      </c>
      <c r="D16" s="134"/>
      <c r="E16" s="135"/>
      <c r="F16" s="136"/>
      <c r="G16" s="124"/>
      <c r="H16" s="137"/>
      <c r="I16" s="70"/>
      <c r="J16" s="70"/>
      <c r="K16" s="70"/>
      <c r="L16" s="138"/>
      <c r="M16" s="139"/>
      <c r="N16" s="140"/>
      <c r="O16" s="140"/>
      <c r="P16" s="140"/>
      <c r="Q16" s="140"/>
      <c r="R16" s="140"/>
      <c r="S16" s="140"/>
      <c r="T16" s="140"/>
      <c r="U16" s="140"/>
      <c r="V16" s="140"/>
      <c r="W16" s="140"/>
      <c r="X16" s="140"/>
      <c r="Y16" s="140"/>
      <c r="Z16" s="99"/>
      <c r="AA16" s="70"/>
      <c r="AB16" s="70"/>
      <c r="AC16" s="70"/>
      <c r="AD16" s="70"/>
      <c r="AE16" s="70"/>
    </row>
    <row r="17" ht="19" customHeight="1">
      <c r="A17" s="119">
        <v>4</v>
      </c>
      <c r="B17" t="s" s="91">
        <v>56</v>
      </c>
      <c r="C17" s="141"/>
      <c r="D17" s="134"/>
      <c r="E17" s="122">
        <f>$C$3*(1/($C$9*1000))*G17</f>
        <v>0.1981290394779719</v>
      </c>
      <c r="F17" s="136"/>
      <c r="G17" s="124">
        <f>HLOOKUP($C$4,$M$14:$X$68,A17)</f>
        <v>1</v>
      </c>
      <c r="H17" s="137"/>
      <c r="I17" s="70"/>
      <c r="J17" s="70"/>
      <c r="K17" s="70"/>
      <c r="L17" s="138"/>
      <c r="M17" s="127">
        <v>0.5</v>
      </c>
      <c r="N17" s="131">
        <v>1</v>
      </c>
      <c r="O17" s="142">
        <f>N17</f>
        <v>1</v>
      </c>
      <c r="P17" s="143">
        <f>O17</f>
        <v>1</v>
      </c>
      <c r="Q17" s="143">
        <f>P17</f>
        <v>1</v>
      </c>
      <c r="R17" s="143">
        <f>Q17</f>
        <v>1</v>
      </c>
      <c r="S17" s="143">
        <f>R17</f>
        <v>1</v>
      </c>
      <c r="T17" s="144">
        <f>S17</f>
        <v>1</v>
      </c>
      <c r="U17" s="145">
        <f>T17</f>
        <v>1</v>
      </c>
      <c r="V17" s="142">
        <f>T17</f>
        <v>1</v>
      </c>
      <c r="W17" s="143">
        <f>V17</f>
        <v>1</v>
      </c>
      <c r="X17" s="143">
        <f>W17</f>
        <v>1</v>
      </c>
      <c r="Y17" s="143">
        <f>X17</f>
        <v>1</v>
      </c>
      <c r="Z17" t="s" s="74">
        <v>127</v>
      </c>
      <c r="AA17" s="133"/>
      <c r="AB17" s="133"/>
      <c r="AC17" s="133"/>
      <c r="AD17" s="133"/>
      <c r="AE17" s="133"/>
    </row>
    <row r="18" ht="19" customHeight="1">
      <c r="A18" s="119">
        <v>5</v>
      </c>
      <c r="B18" t="s" s="91">
        <v>57</v>
      </c>
      <c r="C18" s="141"/>
      <c r="D18" s="134"/>
      <c r="E18" s="122">
        <f>$C$3*(1/($C$9*1000))*G18</f>
        <v>0.5943871184339158</v>
      </c>
      <c r="F18" s="136"/>
      <c r="G18" s="124">
        <f>HLOOKUP($C$4,$M$14:$X$68,A18)</f>
        <v>3</v>
      </c>
      <c r="H18" s="137"/>
      <c r="I18" s="70"/>
      <c r="J18" s="70"/>
      <c r="K18" s="70"/>
      <c r="L18" s="138"/>
      <c r="M18" s="127">
        <v>3</v>
      </c>
      <c r="N18" s="142">
        <f>M18</f>
        <v>3</v>
      </c>
      <c r="O18" s="146">
        <f>N18</f>
        <v>3</v>
      </c>
      <c r="P18" s="146">
        <f>O18</f>
        <v>3</v>
      </c>
      <c r="Q18" s="146">
        <f>P18</f>
        <v>3</v>
      </c>
      <c r="R18" s="146">
        <f>Q18</f>
        <v>3</v>
      </c>
      <c r="S18" s="146">
        <f>R18</f>
        <v>3</v>
      </c>
      <c r="T18" s="146">
        <f>S18</f>
        <v>3</v>
      </c>
      <c r="U18" s="143">
        <f>T18</f>
        <v>3</v>
      </c>
      <c r="V18" s="146">
        <f>U18</f>
        <v>3</v>
      </c>
      <c r="W18" s="146">
        <f>V18</f>
        <v>3</v>
      </c>
      <c r="X18" s="147">
        <f>W18</f>
        <v>3</v>
      </c>
      <c r="Y18" s="146">
        <f>X18</f>
        <v>3</v>
      </c>
      <c r="Z18" s="133"/>
      <c r="AA18" s="133"/>
      <c r="AB18" s="133"/>
      <c r="AC18" s="133"/>
      <c r="AD18" s="133"/>
      <c r="AE18" s="133"/>
    </row>
    <row r="19" ht="19" customHeight="1">
      <c r="A19" s="119">
        <v>6</v>
      </c>
      <c r="B19" t="s" s="91">
        <v>58</v>
      </c>
      <c r="C19" s="141"/>
      <c r="D19" s="134"/>
      <c r="E19" s="122">
        <f>$C$3*(1/($C$9*1000))*G19</f>
        <v>0.6538258302773073</v>
      </c>
      <c r="F19" s="136"/>
      <c r="G19" s="124">
        <f>HLOOKUP($C$4,$M$14:$X$68,A19)</f>
        <v>3.3</v>
      </c>
      <c r="H19" s="137"/>
      <c r="I19" s="70"/>
      <c r="J19" s="70"/>
      <c r="K19" s="70"/>
      <c r="L19" s="138"/>
      <c r="M19" s="127">
        <v>3.3</v>
      </c>
      <c r="N19" s="148">
        <f>M19</f>
        <v>3.3</v>
      </c>
      <c r="O19" s="146">
        <f>N19</f>
        <v>3.3</v>
      </c>
      <c r="P19" s="146">
        <f>O19</f>
        <v>3.3</v>
      </c>
      <c r="Q19" s="146">
        <f>P19</f>
        <v>3.3</v>
      </c>
      <c r="R19" s="146">
        <f>Q19</f>
        <v>3.3</v>
      </c>
      <c r="S19" s="146">
        <f>R19</f>
        <v>3.3</v>
      </c>
      <c r="T19" s="146">
        <f>S19</f>
        <v>3.3</v>
      </c>
      <c r="U19" s="146">
        <f>T19</f>
        <v>3.3</v>
      </c>
      <c r="V19" s="146">
        <f>U19</f>
        <v>3.3</v>
      </c>
      <c r="W19" s="149">
        <f>V19</f>
        <v>3.3</v>
      </c>
      <c r="X19" s="131">
        <v>6.6</v>
      </c>
      <c r="Y19" s="148">
        <f>X19</f>
        <v>6.6</v>
      </c>
      <c r="Z19" s="133"/>
      <c r="AA19" s="133"/>
      <c r="AB19" s="133"/>
      <c r="AC19" s="133"/>
      <c r="AD19" s="133"/>
      <c r="AE19" s="133"/>
    </row>
    <row r="20" ht="19" customHeight="1">
      <c r="A20" s="119">
        <v>7</v>
      </c>
      <c r="B20" t="s" s="91">
        <v>59</v>
      </c>
      <c r="C20" s="141"/>
      <c r="D20" s="134"/>
      <c r="E20" s="122">
        <f>$C$3*(1/($C$9*1000))*G20</f>
        <v>0.4517342100097759</v>
      </c>
      <c r="F20" s="136"/>
      <c r="G20" s="124">
        <f>HLOOKUP($C$4,$M$14:$X$68,A20)</f>
        <v>2.28</v>
      </c>
      <c r="H20" s="137"/>
      <c r="I20" s="70"/>
      <c r="J20" s="70"/>
      <c r="K20" s="70"/>
      <c r="L20" s="138"/>
      <c r="M20" s="127">
        <v>2.28</v>
      </c>
      <c r="N20" s="148">
        <f>M20</f>
        <v>2.28</v>
      </c>
      <c r="O20" s="146">
        <f>N20</f>
        <v>2.28</v>
      </c>
      <c r="P20" s="147">
        <f>O20</f>
        <v>2.28</v>
      </c>
      <c r="Q20" s="146">
        <f>P20</f>
        <v>2.28</v>
      </c>
      <c r="R20" s="146">
        <f>Q20</f>
        <v>2.28</v>
      </c>
      <c r="S20" s="146">
        <f>R20</f>
        <v>2.28</v>
      </c>
      <c r="T20" s="146">
        <f>S20</f>
        <v>2.28</v>
      </c>
      <c r="U20" s="146">
        <f>T20</f>
        <v>2.28</v>
      </c>
      <c r="V20" s="146">
        <f>U20</f>
        <v>2.28</v>
      </c>
      <c r="W20" s="146">
        <f>V20</f>
        <v>2.28</v>
      </c>
      <c r="X20" s="143">
        <f>W20</f>
        <v>2.28</v>
      </c>
      <c r="Y20" s="146">
        <f>X20</f>
        <v>2.28</v>
      </c>
      <c r="Z20" s="133"/>
      <c r="AA20" s="133"/>
      <c r="AB20" s="133"/>
      <c r="AC20" s="133"/>
      <c r="AD20" s="133"/>
      <c r="AE20" s="133"/>
    </row>
    <row r="21" ht="19" customHeight="1">
      <c r="A21" s="119">
        <v>8</v>
      </c>
      <c r="B21" t="s" s="91">
        <v>60</v>
      </c>
      <c r="C21" s="141"/>
      <c r="D21" s="134"/>
      <c r="E21" s="122">
        <f>$C$3*(1/($C$9*1000))*G21</f>
        <v>0.8915806776508737</v>
      </c>
      <c r="F21" s="136"/>
      <c r="G21" s="124">
        <f>HLOOKUP($C$4,$M$14:$X$68,A21)</f>
        <v>4.5</v>
      </c>
      <c r="H21" s="137"/>
      <c r="I21" s="70"/>
      <c r="J21" s="70"/>
      <c r="K21" s="70"/>
      <c r="L21" s="138"/>
      <c r="M21" s="127">
        <v>2.05</v>
      </c>
      <c r="N21" s="148">
        <f>M21</f>
        <v>2.05</v>
      </c>
      <c r="O21" s="149">
        <f>N21</f>
        <v>2.05</v>
      </c>
      <c r="P21" s="131">
        <v>4.5</v>
      </c>
      <c r="Q21" s="148">
        <f>P21</f>
        <v>4.5</v>
      </c>
      <c r="R21" s="146">
        <f>Q21</f>
        <v>4.5</v>
      </c>
      <c r="S21" s="146">
        <f>R21</f>
        <v>4.5</v>
      </c>
      <c r="T21" s="146">
        <f>S21</f>
        <v>4.5</v>
      </c>
      <c r="U21" s="146">
        <f>T21</f>
        <v>4.5</v>
      </c>
      <c r="V21" s="146">
        <f>U21</f>
        <v>4.5</v>
      </c>
      <c r="W21" s="146">
        <f>V21</f>
        <v>4.5</v>
      </c>
      <c r="X21" s="146">
        <f>W21</f>
        <v>4.5</v>
      </c>
      <c r="Y21" s="146">
        <f>X21</f>
        <v>4.5</v>
      </c>
      <c r="Z21" s="133"/>
      <c r="AA21" s="133"/>
      <c r="AB21" s="133"/>
      <c r="AC21" s="133"/>
      <c r="AD21" s="133"/>
      <c r="AE21" s="133"/>
    </row>
    <row r="22" ht="19" customHeight="1">
      <c r="A22" s="119">
        <v>9</v>
      </c>
      <c r="B22" t="s" s="91">
        <v>61</v>
      </c>
      <c r="C22" s="141"/>
      <c r="D22" s="134"/>
      <c r="E22" s="122">
        <f>$C$3*(1/($C$9*1000))*G22</f>
        <v>0.2971935592169579</v>
      </c>
      <c r="F22" s="136"/>
      <c r="G22" s="124">
        <f>HLOOKUP($C$4,$M$14:$X$68,A22)</f>
        <v>1.5</v>
      </c>
      <c r="H22" s="137"/>
      <c r="I22" s="70"/>
      <c r="J22" s="70"/>
      <c r="K22" s="70"/>
      <c r="L22" s="138"/>
      <c r="M22" s="127">
        <v>1.5</v>
      </c>
      <c r="N22" s="148">
        <f>M22</f>
        <v>1.5</v>
      </c>
      <c r="O22" s="146">
        <f>N22</f>
        <v>1.5</v>
      </c>
      <c r="P22" s="143">
        <f>O22</f>
        <v>1.5</v>
      </c>
      <c r="Q22" s="146">
        <f>P22</f>
        <v>1.5</v>
      </c>
      <c r="R22" s="146">
        <f>Q22</f>
        <v>1.5</v>
      </c>
      <c r="S22" s="146">
        <f>R22</f>
        <v>1.5</v>
      </c>
      <c r="T22" s="146">
        <f>S22</f>
        <v>1.5</v>
      </c>
      <c r="U22" s="146">
        <f>T22</f>
        <v>1.5</v>
      </c>
      <c r="V22" s="146">
        <f>U22</f>
        <v>1.5</v>
      </c>
      <c r="W22" s="147">
        <f>V22</f>
        <v>1.5</v>
      </c>
      <c r="X22" s="146">
        <f>W22</f>
        <v>1.5</v>
      </c>
      <c r="Y22" s="146">
        <f>X22</f>
        <v>1.5</v>
      </c>
      <c r="Z22" s="133"/>
      <c r="AA22" s="133"/>
      <c r="AB22" s="133"/>
      <c r="AC22" s="133"/>
      <c r="AD22" s="133"/>
      <c r="AE22" s="133"/>
    </row>
    <row r="23" ht="19" customHeight="1">
      <c r="A23" s="119">
        <v>10</v>
      </c>
      <c r="B23" t="s" s="91">
        <v>62</v>
      </c>
      <c r="C23" s="141"/>
      <c r="D23" s="134"/>
      <c r="E23" s="122">
        <f>$C$3*(1/($C$9*1000))*G23</f>
        <v>0.7211897036998178</v>
      </c>
      <c r="F23" s="136"/>
      <c r="G23" s="124">
        <f>HLOOKUP($C$4,$M$14:$X$68,A23)</f>
        <v>3.64</v>
      </c>
      <c r="H23" s="137"/>
      <c r="I23" s="70"/>
      <c r="J23" s="70"/>
      <c r="K23" s="70"/>
      <c r="L23" s="138"/>
      <c r="M23" s="127">
        <v>3.64</v>
      </c>
      <c r="N23" s="148">
        <f>M23</f>
        <v>3.64</v>
      </c>
      <c r="O23" s="146">
        <f>N23</f>
        <v>3.64</v>
      </c>
      <c r="P23" s="146">
        <f>O23</f>
        <v>3.64</v>
      </c>
      <c r="Q23" s="146">
        <f>P23</f>
        <v>3.64</v>
      </c>
      <c r="R23" s="146">
        <f>Q23</f>
        <v>3.64</v>
      </c>
      <c r="S23" s="147">
        <f>R23</f>
        <v>3.64</v>
      </c>
      <c r="T23" s="146">
        <f>S23</f>
        <v>3.64</v>
      </c>
      <c r="U23" s="146">
        <f>T23</f>
        <v>3.64</v>
      </c>
      <c r="V23" s="149">
        <f>U23</f>
        <v>3.64</v>
      </c>
      <c r="W23" s="131">
        <v>5.46</v>
      </c>
      <c r="X23" s="148">
        <f>W23</f>
        <v>5.46</v>
      </c>
      <c r="Y23" s="147">
        <f>X23</f>
        <v>5.46</v>
      </c>
      <c r="Z23" s="133"/>
      <c r="AA23" s="133"/>
      <c r="AB23" s="133"/>
      <c r="AC23" s="133"/>
      <c r="AD23" s="133"/>
      <c r="AE23" s="133"/>
    </row>
    <row r="24" ht="19" customHeight="1">
      <c r="A24" s="119">
        <v>11</v>
      </c>
      <c r="B24" t="s" s="91">
        <v>63</v>
      </c>
      <c r="C24" s="141"/>
      <c r="D24" s="134"/>
      <c r="E24" s="122">
        <f>$C$3*(1/($C$9*1000))*G24</f>
        <v>0.4457903388254368</v>
      </c>
      <c r="F24" s="136"/>
      <c r="G24" s="124">
        <f>HLOOKUP($C$4,$M$14:$X$68,A24)</f>
        <v>2.25</v>
      </c>
      <c r="H24" s="137"/>
      <c r="I24" s="70"/>
      <c r="J24" s="70"/>
      <c r="K24" s="70"/>
      <c r="L24" s="138"/>
      <c r="M24" s="127">
        <v>2.25</v>
      </c>
      <c r="N24" s="148">
        <f>M24</f>
        <v>2.25</v>
      </c>
      <c r="O24" s="146">
        <f>N24</f>
        <v>2.25</v>
      </c>
      <c r="P24" s="146">
        <f>O24</f>
        <v>2.25</v>
      </c>
      <c r="Q24" s="146">
        <f>P24</f>
        <v>2.25</v>
      </c>
      <c r="R24" s="149">
        <f>Q24</f>
        <v>2.25</v>
      </c>
      <c r="S24" s="131">
        <v>6.5</v>
      </c>
      <c r="T24" s="148">
        <f>S24</f>
        <v>6.5</v>
      </c>
      <c r="U24" s="146">
        <f>T24</f>
        <v>6.5</v>
      </c>
      <c r="V24" s="146">
        <f>U24</f>
        <v>6.5</v>
      </c>
      <c r="W24" s="143">
        <f>V24</f>
        <v>6.5</v>
      </c>
      <c r="X24" s="149">
        <f>W24</f>
        <v>6.5</v>
      </c>
      <c r="Y24" s="131">
        <v>9.529999999999999</v>
      </c>
      <c r="Z24" s="150"/>
      <c r="AA24" s="133"/>
      <c r="AB24" s="133"/>
      <c r="AC24" s="133"/>
      <c r="AD24" s="133"/>
      <c r="AE24" s="133"/>
    </row>
    <row r="25" ht="19" customHeight="1">
      <c r="A25" s="119">
        <v>12</v>
      </c>
      <c r="B25" t="s" s="91">
        <v>64</v>
      </c>
      <c r="C25" s="141"/>
      <c r="D25" s="134"/>
      <c r="E25" s="122">
        <f>$C$3*(1/($C$9*1000))*G25</f>
        <v>0.9153561623882303</v>
      </c>
      <c r="F25" s="136"/>
      <c r="G25" s="124">
        <f>HLOOKUP($C$4,$M$14:$X$68,A25)+L25</f>
        <v>4.62</v>
      </c>
      <c r="H25" s="137"/>
      <c r="I25" s="70"/>
      <c r="J25" s="70"/>
      <c r="K25" s="70"/>
      <c r="L25" s="151">
        <v>0.83</v>
      </c>
      <c r="M25" s="127">
        <v>3.79</v>
      </c>
      <c r="N25" s="148">
        <f>M25</f>
        <v>3.79</v>
      </c>
      <c r="O25" s="146">
        <f>N25</f>
        <v>3.79</v>
      </c>
      <c r="P25" s="146">
        <f>O25</f>
        <v>3.79</v>
      </c>
      <c r="Q25" s="146">
        <f>P25</f>
        <v>3.79</v>
      </c>
      <c r="R25" s="146">
        <f>Q25</f>
        <v>3.79</v>
      </c>
      <c r="S25" s="143">
        <f>R25</f>
        <v>3.79</v>
      </c>
      <c r="T25" s="146">
        <f>S25</f>
        <v>3.79</v>
      </c>
      <c r="U25" s="146">
        <f>T25</f>
        <v>3.79</v>
      </c>
      <c r="V25" s="146">
        <f>U25</f>
        <v>3.79</v>
      </c>
      <c r="W25" s="146">
        <f>V25</f>
        <v>3.79</v>
      </c>
      <c r="X25" s="146">
        <f>W25</f>
        <v>3.79</v>
      </c>
      <c r="Y25" s="143">
        <f>X25</f>
        <v>3.79</v>
      </c>
      <c r="Z25" s="133"/>
      <c r="AA25" s="133"/>
      <c r="AB25" s="133"/>
      <c r="AC25" s="133"/>
      <c r="AD25" s="133"/>
      <c r="AE25" s="133"/>
    </row>
    <row r="26" ht="19" customHeight="1">
      <c r="A26" s="119">
        <v>13</v>
      </c>
      <c r="B26" t="s" s="91">
        <v>65</v>
      </c>
      <c r="C26" s="141"/>
      <c r="D26" s="134"/>
      <c r="E26" s="122">
        <f>$C$3*(1/($C$9*1000))*G26</f>
        <v>1.184811656078272</v>
      </c>
      <c r="F26" s="136"/>
      <c r="G26" s="124">
        <f>HLOOKUP($C$4,$M$14:$X$68,A26)</f>
        <v>5.98</v>
      </c>
      <c r="H26" s="137"/>
      <c r="I26" s="70"/>
      <c r="J26" s="70"/>
      <c r="K26" s="70"/>
      <c r="L26" s="138"/>
      <c r="M26" s="127">
        <v>5.98</v>
      </c>
      <c r="N26" s="152">
        <f>M26</f>
        <v>5.98</v>
      </c>
      <c r="O26" s="147">
        <f>N26</f>
        <v>5.98</v>
      </c>
      <c r="P26" s="147">
        <f>O26</f>
        <v>5.98</v>
      </c>
      <c r="Q26" s="147">
        <f>P26</f>
        <v>5.98</v>
      </c>
      <c r="R26" s="147">
        <f>Q26</f>
        <v>5.98</v>
      </c>
      <c r="S26" s="147">
        <f>R26</f>
        <v>5.98</v>
      </c>
      <c r="T26" s="147">
        <f>S26</f>
        <v>5.98</v>
      </c>
      <c r="U26" s="147">
        <f>T26</f>
        <v>5.98</v>
      </c>
      <c r="V26" s="147">
        <f>U26</f>
        <v>5.98</v>
      </c>
      <c r="W26" s="147">
        <f>V26</f>
        <v>5.98</v>
      </c>
      <c r="X26" s="147">
        <f>W26</f>
        <v>5.98</v>
      </c>
      <c r="Y26" s="147">
        <f>X26</f>
        <v>5.98</v>
      </c>
      <c r="Z26" s="133"/>
      <c r="AA26" s="133"/>
      <c r="AB26" s="133"/>
      <c r="AC26" s="133"/>
      <c r="AD26" s="133"/>
      <c r="AE26" s="133"/>
    </row>
    <row r="27" ht="19" customHeight="1">
      <c r="A27" s="119">
        <v>14</v>
      </c>
      <c r="B27" t="s" s="91">
        <v>66</v>
      </c>
      <c r="C27" t="s" s="77">
        <v>126</v>
      </c>
      <c r="D27" s="134"/>
      <c r="E27" s="135"/>
      <c r="F27" s="136"/>
      <c r="G27" s="124"/>
      <c r="H27" s="137"/>
      <c r="I27" s="70"/>
      <c r="J27" s="70"/>
      <c r="K27" s="70"/>
      <c r="L27" s="138"/>
      <c r="M27" s="153"/>
      <c r="N27" s="154"/>
      <c r="O27" s="154"/>
      <c r="P27" s="154"/>
      <c r="Q27" s="154"/>
      <c r="R27" s="154"/>
      <c r="S27" s="154"/>
      <c r="T27" s="154"/>
      <c r="U27" s="154"/>
      <c r="V27" s="154"/>
      <c r="W27" s="154"/>
      <c r="X27" s="154"/>
      <c r="Y27" s="154"/>
      <c r="Z27" s="150"/>
      <c r="AA27" s="133"/>
      <c r="AB27" s="133"/>
      <c r="AC27" s="133"/>
      <c r="AD27" s="133"/>
      <c r="AE27" s="133"/>
    </row>
    <row r="28" ht="19" customHeight="1">
      <c r="A28" s="119">
        <v>15</v>
      </c>
      <c r="B28" t="s" s="91">
        <v>67</v>
      </c>
      <c r="C28" t="s" s="77">
        <v>126</v>
      </c>
      <c r="D28" s="134"/>
      <c r="E28" s="135"/>
      <c r="F28" s="136"/>
      <c r="G28" s="124"/>
      <c r="H28" s="137"/>
      <c r="I28" s="70"/>
      <c r="J28" s="70"/>
      <c r="K28" s="70"/>
      <c r="L28" s="138"/>
      <c r="M28" s="153"/>
      <c r="N28" s="154"/>
      <c r="O28" s="154"/>
      <c r="P28" s="154"/>
      <c r="Q28" s="154"/>
      <c r="R28" s="154"/>
      <c r="S28" s="154"/>
      <c r="T28" s="154"/>
      <c r="U28" s="154"/>
      <c r="V28" s="154"/>
      <c r="W28" s="154"/>
      <c r="X28" s="154"/>
      <c r="Y28" s="154"/>
      <c r="Z28" s="150"/>
      <c r="AA28" s="133"/>
      <c r="AB28" s="133"/>
      <c r="AC28" s="133"/>
      <c r="AD28" s="133"/>
      <c r="AE28" s="133"/>
    </row>
    <row r="29" ht="19" customHeight="1">
      <c r="A29" s="119">
        <v>16</v>
      </c>
      <c r="B29" t="s" s="91">
        <v>68</v>
      </c>
      <c r="C29" s="141"/>
      <c r="D29" s="134"/>
      <c r="E29" s="122">
        <f>$C$3*(1/($C$9*1000))*G29</f>
        <v>0.2753993648743809</v>
      </c>
      <c r="F29" s="136"/>
      <c r="G29" s="124">
        <f>HLOOKUP($C$4,$M$14:$X$68,A29)</f>
        <v>1.39</v>
      </c>
      <c r="H29" s="137"/>
      <c r="I29" s="70"/>
      <c r="J29" s="70"/>
      <c r="K29" s="70"/>
      <c r="L29" s="138"/>
      <c r="M29" s="127">
        <v>1.39</v>
      </c>
      <c r="N29" s="142">
        <f>M29</f>
        <v>1.39</v>
      </c>
      <c r="O29" s="143">
        <f>N29</f>
        <v>1.39</v>
      </c>
      <c r="P29" s="143">
        <f>O29</f>
        <v>1.39</v>
      </c>
      <c r="Q29" s="143">
        <f>P29</f>
        <v>1.39</v>
      </c>
      <c r="R29" s="143">
        <f>Q29</f>
        <v>1.39</v>
      </c>
      <c r="S29" s="144">
        <f>R29</f>
        <v>1.39</v>
      </c>
      <c r="T29" s="131">
        <v>8.550000000000001</v>
      </c>
      <c r="U29" s="142">
        <f>T29</f>
        <v>8.550000000000001</v>
      </c>
      <c r="V29" s="143">
        <f>U29</f>
        <v>8.550000000000001</v>
      </c>
      <c r="W29" s="143">
        <f>V29</f>
        <v>8.550000000000001</v>
      </c>
      <c r="X29" s="143">
        <f>W29</f>
        <v>8.550000000000001</v>
      </c>
      <c r="Y29" s="143">
        <f>X29</f>
        <v>8.550000000000001</v>
      </c>
      <c r="Z29" s="133"/>
      <c r="AA29" s="133"/>
      <c r="AB29" s="133"/>
      <c r="AC29" s="133"/>
      <c r="AD29" s="133"/>
      <c r="AE29" s="133"/>
    </row>
    <row r="30" ht="19" customHeight="1">
      <c r="A30" s="119">
        <v>17</v>
      </c>
      <c r="B30" t="s" s="91">
        <v>69</v>
      </c>
      <c r="C30" s="141"/>
      <c r="D30" s="134"/>
      <c r="E30" s="122">
        <f>$C$3*(1/($C$9*1000))*G30</f>
        <v>0.8063851906753458</v>
      </c>
      <c r="F30" s="136"/>
      <c r="G30" s="124">
        <f>HLOOKUP($C$4,$M$14:$X$68,A30)+L30</f>
        <v>4.07</v>
      </c>
      <c r="H30" s="137"/>
      <c r="I30" s="70"/>
      <c r="J30" s="70"/>
      <c r="K30" s="70"/>
      <c r="L30" s="151">
        <v>2.68</v>
      </c>
      <c r="M30" s="155">
        <f>M29</f>
        <v>1.39</v>
      </c>
      <c r="N30" s="146">
        <f>M30</f>
        <v>1.39</v>
      </c>
      <c r="O30" s="146">
        <f>N30</f>
        <v>1.39</v>
      </c>
      <c r="P30" s="146">
        <f>O30</f>
        <v>1.39</v>
      </c>
      <c r="Q30" s="146">
        <f>P30</f>
        <v>1.39</v>
      </c>
      <c r="R30" s="146">
        <f>Q30</f>
        <v>1.39</v>
      </c>
      <c r="S30" s="146">
        <f>R30</f>
        <v>1.39</v>
      </c>
      <c r="T30" s="143">
        <f>T29</f>
        <v>8.550000000000001</v>
      </c>
      <c r="U30" s="146">
        <f>T30</f>
        <v>8.550000000000001</v>
      </c>
      <c r="V30" s="146">
        <f>U30</f>
        <v>8.550000000000001</v>
      </c>
      <c r="W30" s="146">
        <f>V30</f>
        <v>8.550000000000001</v>
      </c>
      <c r="X30" s="146">
        <f>W30</f>
        <v>8.550000000000001</v>
      </c>
      <c r="Y30" s="146">
        <f>X30</f>
        <v>8.550000000000001</v>
      </c>
      <c r="Z30" s="133"/>
      <c r="AA30" s="133"/>
      <c r="AB30" s="133"/>
      <c r="AC30" s="133"/>
      <c r="AD30" s="133"/>
      <c r="AE30" s="133"/>
    </row>
    <row r="31" ht="19" customHeight="1">
      <c r="A31" s="119">
        <v>18</v>
      </c>
      <c r="B31" t="s" s="91">
        <v>70</v>
      </c>
      <c r="C31" s="141"/>
      <c r="D31" s="134"/>
      <c r="E31" s="122">
        <f>$C$3*(1/($C$9*1000))*G31</f>
        <v>0.6716574438303248</v>
      </c>
      <c r="F31" s="136"/>
      <c r="G31" s="124">
        <f>HLOOKUP($C$4,$M$14:$X$68,A31)+L31</f>
        <v>3.39</v>
      </c>
      <c r="H31" s="137"/>
      <c r="I31" s="70"/>
      <c r="J31" s="70"/>
      <c r="K31" s="70"/>
      <c r="L31" s="151">
        <v>2</v>
      </c>
      <c r="M31" s="156">
        <f>M29</f>
        <v>1.39</v>
      </c>
      <c r="N31" s="146">
        <f>M31</f>
        <v>1.39</v>
      </c>
      <c r="O31" s="146">
        <f>N31</f>
        <v>1.39</v>
      </c>
      <c r="P31" s="146">
        <f>O31</f>
        <v>1.39</v>
      </c>
      <c r="Q31" s="146">
        <f>P31</f>
        <v>1.39</v>
      </c>
      <c r="R31" s="147">
        <f>Q31</f>
        <v>1.39</v>
      </c>
      <c r="S31" s="146">
        <f>R31</f>
        <v>1.39</v>
      </c>
      <c r="T31" s="146">
        <f>T29</f>
        <v>8.550000000000001</v>
      </c>
      <c r="U31" s="146">
        <f>T31</f>
        <v>8.550000000000001</v>
      </c>
      <c r="V31" s="146">
        <f>U31</f>
        <v>8.550000000000001</v>
      </c>
      <c r="W31" s="146">
        <f>V31</f>
        <v>8.550000000000001</v>
      </c>
      <c r="X31" s="146">
        <f>W31</f>
        <v>8.550000000000001</v>
      </c>
      <c r="Y31" s="146">
        <f>X31</f>
        <v>8.550000000000001</v>
      </c>
      <c r="Z31" s="133"/>
      <c r="AA31" s="133"/>
      <c r="AB31" s="133"/>
      <c r="AC31" s="133"/>
      <c r="AD31" s="133"/>
      <c r="AE31" s="133"/>
    </row>
    <row r="32" ht="19" customHeight="1">
      <c r="A32" s="119">
        <v>19</v>
      </c>
      <c r="B32" t="s" s="91">
        <v>71</v>
      </c>
      <c r="C32" s="141"/>
      <c r="D32" s="134"/>
      <c r="E32" s="122">
        <f>$C$3*(1/($C$9*1000))*G32</f>
        <v>0.0931206485546468</v>
      </c>
      <c r="F32" s="136"/>
      <c r="G32" s="124">
        <f>HLOOKUP($C$4,$M$14:$X$68,A32)</f>
        <v>0.47</v>
      </c>
      <c r="H32" s="137"/>
      <c r="I32" s="89"/>
      <c r="J32" s="89"/>
      <c r="K32" s="89"/>
      <c r="L32" s="138"/>
      <c r="M32" s="127">
        <v>0.47</v>
      </c>
      <c r="N32" s="148">
        <f>M32</f>
        <v>0.47</v>
      </c>
      <c r="O32" s="146">
        <f>N32</f>
        <v>0.47</v>
      </c>
      <c r="P32" s="146">
        <f>O32</f>
        <v>0.47</v>
      </c>
      <c r="Q32" s="149">
        <f>P32</f>
        <v>0.47</v>
      </c>
      <c r="R32" s="131">
        <v>2.68</v>
      </c>
      <c r="S32" s="148">
        <f>R32</f>
        <v>2.68</v>
      </c>
      <c r="T32" s="146">
        <f>S32</f>
        <v>2.68</v>
      </c>
      <c r="U32" s="146">
        <f>T32</f>
        <v>2.68</v>
      </c>
      <c r="V32" s="146">
        <f>U32</f>
        <v>2.68</v>
      </c>
      <c r="W32" s="146">
        <f>V32</f>
        <v>2.68</v>
      </c>
      <c r="X32" s="146">
        <f>W32</f>
        <v>2.68</v>
      </c>
      <c r="Y32" s="146">
        <f>X32</f>
        <v>2.68</v>
      </c>
      <c r="Z32" s="133"/>
      <c r="AA32" s="133"/>
      <c r="AB32" s="133"/>
      <c r="AC32" s="133"/>
      <c r="AD32" s="133"/>
      <c r="AE32" s="133"/>
    </row>
    <row r="33" ht="19" customHeight="1">
      <c r="A33" s="119">
        <v>20</v>
      </c>
      <c r="B33" t="s" s="91">
        <v>72</v>
      </c>
      <c r="C33" s="141"/>
      <c r="D33" s="134"/>
      <c r="E33" s="122">
        <f>$C$3*(1/($C$9*1000))*G33</f>
        <v>0.4953225986949298</v>
      </c>
      <c r="F33" s="136"/>
      <c r="G33" s="124">
        <f>HLOOKUP($C$4,$M$14:$X$68,A33)</f>
        <v>2.5</v>
      </c>
      <c r="H33" s="137"/>
      <c r="I33" s="89"/>
      <c r="J33" s="89"/>
      <c r="K33" s="89"/>
      <c r="L33" s="138"/>
      <c r="M33" s="127">
        <v>2.5</v>
      </c>
      <c r="N33" s="148">
        <f>M33</f>
        <v>2.5</v>
      </c>
      <c r="O33" s="147">
        <f>N33</f>
        <v>2.5</v>
      </c>
      <c r="P33" s="146">
        <f>O33</f>
        <v>2.5</v>
      </c>
      <c r="Q33" s="146">
        <f>P33</f>
        <v>2.5</v>
      </c>
      <c r="R33" s="143">
        <f>Q33</f>
        <v>2.5</v>
      </c>
      <c r="S33" s="146">
        <f>R33</f>
        <v>2.5</v>
      </c>
      <c r="T33" s="146">
        <f>S33</f>
        <v>2.5</v>
      </c>
      <c r="U33" s="146">
        <f>T33</f>
        <v>2.5</v>
      </c>
      <c r="V33" s="146">
        <f>U33</f>
        <v>2.5</v>
      </c>
      <c r="W33" s="146">
        <f>V33</f>
        <v>2.5</v>
      </c>
      <c r="X33" s="146">
        <f>W33</f>
        <v>2.5</v>
      </c>
      <c r="Y33" s="146">
        <f>X33</f>
        <v>2.5</v>
      </c>
      <c r="Z33" s="133"/>
      <c r="AA33" s="133"/>
      <c r="AB33" s="133"/>
      <c r="AC33" s="133"/>
      <c r="AD33" s="133"/>
      <c r="AE33" s="133"/>
    </row>
    <row r="34" ht="19" customHeight="1">
      <c r="A34" s="119">
        <v>21</v>
      </c>
      <c r="B34" t="s" s="91">
        <v>73</v>
      </c>
      <c r="C34" s="141"/>
      <c r="D34" s="134"/>
      <c r="E34" s="122">
        <f>(J34/$C$5)+K34*$C$6+$C$3*(1/($C$9*1000))*G34</f>
        <v>1.426574422464373</v>
      </c>
      <c r="F34" s="136"/>
      <c r="G34" s="124">
        <f>HLOOKUP($C$4,$M$14:$X$68,A34)</f>
        <v>1.92</v>
      </c>
      <c r="H34" s="137"/>
      <c r="I34" s="89"/>
      <c r="J34" s="133">
        <v>0.05</v>
      </c>
      <c r="K34" s="157">
        <v>0.11</v>
      </c>
      <c r="L34" s="138"/>
      <c r="M34" s="127">
        <v>0.25</v>
      </c>
      <c r="N34" s="158">
        <f>M34</f>
        <v>0.25</v>
      </c>
      <c r="O34" s="131">
        <v>1.92</v>
      </c>
      <c r="P34" s="148">
        <f>O34</f>
        <v>1.92</v>
      </c>
      <c r="Q34" s="146">
        <f>P34</f>
        <v>1.92</v>
      </c>
      <c r="R34" s="146">
        <f>Q34</f>
        <v>1.92</v>
      </c>
      <c r="S34" s="146">
        <f>R34</f>
        <v>1.92</v>
      </c>
      <c r="T34" s="146">
        <f>S34</f>
        <v>1.92</v>
      </c>
      <c r="U34" s="146">
        <f>T34</f>
        <v>1.92</v>
      </c>
      <c r="V34" s="146">
        <f>U34</f>
        <v>1.92</v>
      </c>
      <c r="W34" s="146">
        <f>V34</f>
        <v>1.92</v>
      </c>
      <c r="X34" s="146">
        <f>W34</f>
        <v>1.92</v>
      </c>
      <c r="Y34" s="146">
        <f>X34</f>
        <v>1.92</v>
      </c>
      <c r="Z34" s="133"/>
      <c r="AA34" s="133"/>
      <c r="AB34" s="133"/>
      <c r="AC34" s="133"/>
      <c r="AD34" s="133"/>
      <c r="AE34" s="133"/>
    </row>
    <row r="35" ht="19" customHeight="1">
      <c r="A35" s="119">
        <v>22</v>
      </c>
      <c r="B35" t="s" s="91">
        <v>74</v>
      </c>
      <c r="C35" s="141"/>
      <c r="D35" s="134"/>
      <c r="E35" s="122">
        <f>$C$3*(1/($C$9*1000))*G35</f>
        <v>0.4953225986949298</v>
      </c>
      <c r="F35" s="136"/>
      <c r="G35" s="124">
        <f>HLOOKUP($C$4,$M$14:$X$68,A35)</f>
        <v>2.5</v>
      </c>
      <c r="H35" s="137"/>
      <c r="I35" s="89"/>
      <c r="J35" s="89"/>
      <c r="K35" s="89"/>
      <c r="L35" s="138"/>
      <c r="M35" s="127">
        <v>0.32</v>
      </c>
      <c r="N35" s="158">
        <f>M35</f>
        <v>0.32</v>
      </c>
      <c r="O35" s="131">
        <v>2.5</v>
      </c>
      <c r="P35" s="148">
        <f>O35</f>
        <v>2.5</v>
      </c>
      <c r="Q35" s="146">
        <f>P35</f>
        <v>2.5</v>
      </c>
      <c r="R35" s="147">
        <f>Q35</f>
        <v>2.5</v>
      </c>
      <c r="S35" s="146">
        <f>R35</f>
        <v>2.5</v>
      </c>
      <c r="T35" s="146">
        <f>S35</f>
        <v>2.5</v>
      </c>
      <c r="U35" s="146">
        <f>T35</f>
        <v>2.5</v>
      </c>
      <c r="V35" s="146">
        <f>U35</f>
        <v>2.5</v>
      </c>
      <c r="W35" s="146">
        <f>V35</f>
        <v>2.5</v>
      </c>
      <c r="X35" s="147">
        <f>W35</f>
        <v>2.5</v>
      </c>
      <c r="Y35" s="146">
        <f>X35</f>
        <v>2.5</v>
      </c>
      <c r="Z35" s="159"/>
      <c r="AA35" s="133"/>
      <c r="AB35" s="133"/>
      <c r="AC35" s="133"/>
      <c r="AD35" s="133"/>
      <c r="AE35" s="133"/>
    </row>
    <row r="36" ht="19" customHeight="1">
      <c r="A36" s="119">
        <v>23</v>
      </c>
      <c r="B36" t="s" s="91">
        <v>75</v>
      </c>
      <c r="C36" s="141"/>
      <c r="D36" s="134"/>
      <c r="E36" s="122">
        <f>$C$3*(1/($C$9*1000))*G36</f>
        <v>0.2179419434257691</v>
      </c>
      <c r="F36" s="136"/>
      <c r="G36" s="124">
        <f>HLOOKUP($C$4,$M$14:$X$68,A36)</f>
        <v>1.1</v>
      </c>
      <c r="H36" s="137"/>
      <c r="I36" s="89"/>
      <c r="J36" s="89"/>
      <c r="K36" s="89"/>
      <c r="L36" s="138"/>
      <c r="M36" s="127">
        <v>1.1</v>
      </c>
      <c r="N36" s="148">
        <f>M36</f>
        <v>1.1</v>
      </c>
      <c r="O36" s="143">
        <f>N36</f>
        <v>1.1</v>
      </c>
      <c r="P36" s="146">
        <f>O36</f>
        <v>1.1</v>
      </c>
      <c r="Q36" s="149">
        <f>P36</f>
        <v>1.1</v>
      </c>
      <c r="R36" s="131">
        <v>4.05</v>
      </c>
      <c r="S36" s="148">
        <f>R36</f>
        <v>4.05</v>
      </c>
      <c r="T36" s="146">
        <f>S36</f>
        <v>4.05</v>
      </c>
      <c r="U36" s="146">
        <f>T36</f>
        <v>4.05</v>
      </c>
      <c r="V36" s="146">
        <f>U36</f>
        <v>4.05</v>
      </c>
      <c r="W36" s="149">
        <f>V36</f>
        <v>4.05</v>
      </c>
      <c r="X36" s="131">
        <v>4.05</v>
      </c>
      <c r="Y36" s="158"/>
      <c r="Z36" t="s" s="160">
        <v>128</v>
      </c>
      <c r="AA36" s="150"/>
      <c r="AB36" s="133"/>
      <c r="AC36" s="133"/>
      <c r="AD36" s="133"/>
      <c r="AE36" s="133"/>
    </row>
    <row r="37" ht="19" customHeight="1">
      <c r="A37" s="119">
        <v>24</v>
      </c>
      <c r="B37" t="s" s="91">
        <v>76</v>
      </c>
      <c r="C37" s="141"/>
      <c r="D37" s="134"/>
      <c r="E37" s="122">
        <f>$C$3*(1/($C$9*1000))*G37</f>
        <v>0.2971935592169579</v>
      </c>
      <c r="F37" s="136"/>
      <c r="G37" s="124">
        <f>HLOOKUP($C$4,$M$14:$X$68,A37)</f>
        <v>1.5</v>
      </c>
      <c r="H37" s="137"/>
      <c r="I37" s="89"/>
      <c r="J37" s="89"/>
      <c r="K37" s="89"/>
      <c r="L37" s="138"/>
      <c r="M37" s="127">
        <v>1.5</v>
      </c>
      <c r="N37" s="152">
        <f>M37</f>
        <v>1.5</v>
      </c>
      <c r="O37" s="147">
        <f>N37</f>
        <v>1.5</v>
      </c>
      <c r="P37" s="147">
        <f>O37</f>
        <v>1.5</v>
      </c>
      <c r="Q37" s="147">
        <f>P37</f>
        <v>1.5</v>
      </c>
      <c r="R37" s="129">
        <f>Q37</f>
        <v>1.5</v>
      </c>
      <c r="S37" s="147">
        <f>R37</f>
        <v>1.5</v>
      </c>
      <c r="T37" s="147">
        <f>S37</f>
        <v>1.5</v>
      </c>
      <c r="U37" s="147">
        <f>T37</f>
        <v>1.5</v>
      </c>
      <c r="V37" s="147">
        <f>U37</f>
        <v>1.5</v>
      </c>
      <c r="W37" s="147">
        <f>V37</f>
        <v>1.5</v>
      </c>
      <c r="X37" s="129">
        <f>W37</f>
        <v>1.5</v>
      </c>
      <c r="Y37" s="147">
        <f>X37</f>
        <v>1.5</v>
      </c>
      <c r="Z37" s="132"/>
      <c r="AA37" s="133"/>
      <c r="AB37" s="133"/>
      <c r="AC37" s="133"/>
      <c r="AD37" s="133"/>
      <c r="AE37" s="133"/>
    </row>
    <row r="38" ht="19" customHeight="1">
      <c r="A38" s="119">
        <v>25</v>
      </c>
      <c r="B38" t="s" s="91">
        <v>77</v>
      </c>
      <c r="C38" t="s" s="77">
        <v>126</v>
      </c>
      <c r="D38" s="134"/>
      <c r="E38" s="135"/>
      <c r="F38" s="136"/>
      <c r="G38" s="124"/>
      <c r="H38" s="137"/>
      <c r="I38" s="89"/>
      <c r="J38" s="89"/>
      <c r="K38" s="89"/>
      <c r="L38" s="138"/>
      <c r="M38" s="153"/>
      <c r="N38" s="154"/>
      <c r="O38" s="154"/>
      <c r="P38" s="154"/>
      <c r="Q38" s="154"/>
      <c r="R38" s="154"/>
      <c r="S38" s="154"/>
      <c r="T38" s="154"/>
      <c r="U38" s="154"/>
      <c r="V38" s="154"/>
      <c r="W38" s="154"/>
      <c r="X38" s="154"/>
      <c r="Y38" s="154"/>
      <c r="Z38" s="150"/>
      <c r="AA38" s="133"/>
      <c r="AB38" s="133"/>
      <c r="AC38" s="133"/>
      <c r="AD38" s="133"/>
      <c r="AE38" s="133"/>
    </row>
    <row r="39" ht="19" customHeight="1">
      <c r="A39" s="119">
        <v>26</v>
      </c>
      <c r="B39" t="s" s="91">
        <v>78</v>
      </c>
      <c r="C39" t="s" s="77">
        <v>126</v>
      </c>
      <c r="D39" s="134"/>
      <c r="E39" s="135"/>
      <c r="F39" s="136"/>
      <c r="G39" s="124"/>
      <c r="H39" s="137"/>
      <c r="I39" s="89"/>
      <c r="J39" s="89"/>
      <c r="K39" s="89"/>
      <c r="L39" s="138"/>
      <c r="M39" s="153"/>
      <c r="N39" s="154"/>
      <c r="O39" s="154"/>
      <c r="P39" s="154"/>
      <c r="Q39" s="154"/>
      <c r="R39" s="154"/>
      <c r="S39" s="154"/>
      <c r="T39" s="154"/>
      <c r="U39" s="154"/>
      <c r="V39" s="154"/>
      <c r="W39" s="154"/>
      <c r="X39" s="154"/>
      <c r="Y39" s="154"/>
      <c r="Z39" s="150"/>
      <c r="AA39" s="133"/>
      <c r="AB39" s="133"/>
      <c r="AC39" s="133"/>
      <c r="AD39" s="133"/>
      <c r="AE39" s="133"/>
    </row>
    <row r="40" ht="19" customHeight="1">
      <c r="A40" s="119">
        <v>27</v>
      </c>
      <c r="B40" t="s" s="91">
        <v>79</v>
      </c>
      <c r="C40" s="141"/>
      <c r="D40" s="134"/>
      <c r="E40" s="122">
        <f>I40+$C$3*(1/($C$9*1000))*G40</f>
        <v>1.006589068574199</v>
      </c>
      <c r="F40" s="136"/>
      <c r="G40" s="124">
        <f>HLOOKUP($C$4,$M$14:$X$68,A40)</f>
        <v>5.03</v>
      </c>
      <c r="H40" s="137"/>
      <c r="I40" s="133">
        <v>0.01</v>
      </c>
      <c r="J40" s="89"/>
      <c r="K40" s="89"/>
      <c r="L40" s="138"/>
      <c r="M40" s="127">
        <v>5.03</v>
      </c>
      <c r="N40" s="142">
        <f>M40</f>
        <v>5.03</v>
      </c>
      <c r="O40" s="143">
        <f>N40</f>
        <v>5.03</v>
      </c>
      <c r="P40" s="143">
        <f>O40</f>
        <v>5.03</v>
      </c>
      <c r="Q40" s="143">
        <f>P40</f>
        <v>5.03</v>
      </c>
      <c r="R40" s="143">
        <f>Q40</f>
        <v>5.03</v>
      </c>
      <c r="S40" s="143">
        <f>R40</f>
        <v>5.03</v>
      </c>
      <c r="T40" s="143">
        <f>S40</f>
        <v>5.03</v>
      </c>
      <c r="U40" s="143">
        <f>T40</f>
        <v>5.03</v>
      </c>
      <c r="V40" s="143">
        <f>U40</f>
        <v>5.03</v>
      </c>
      <c r="W40" s="143">
        <f>V40</f>
        <v>5.03</v>
      </c>
      <c r="X40" s="143">
        <f>W40</f>
        <v>5.03</v>
      </c>
      <c r="Y40" s="143">
        <f>X40</f>
        <v>5.03</v>
      </c>
      <c r="Z40" t="s" s="74">
        <v>129</v>
      </c>
      <c r="AA40" s="133"/>
      <c r="AB40" s="133"/>
      <c r="AC40" s="133"/>
      <c r="AD40" s="133"/>
      <c r="AE40" s="133"/>
    </row>
    <row r="41" ht="19" customHeight="1">
      <c r="A41" s="119">
        <v>28</v>
      </c>
      <c r="B41" t="s" s="91">
        <v>80</v>
      </c>
      <c r="C41" s="141"/>
      <c r="D41" s="134"/>
      <c r="E41" s="122">
        <f>$C$3*(1/($C$9*1000))*G41</f>
        <v>0.3962580789559438</v>
      </c>
      <c r="F41" s="136"/>
      <c r="G41" s="124">
        <f>HLOOKUP($C$4,$M$14:$X$68,A41)</f>
        <v>2</v>
      </c>
      <c r="H41" s="137"/>
      <c r="I41" s="89"/>
      <c r="J41" s="89"/>
      <c r="K41" s="89"/>
      <c r="L41" s="138"/>
      <c r="M41" s="127">
        <v>2</v>
      </c>
      <c r="N41" s="152">
        <f>M41</f>
        <v>2</v>
      </c>
      <c r="O41" s="147">
        <f>N41</f>
        <v>2</v>
      </c>
      <c r="P41" s="147">
        <f>O41</f>
        <v>2</v>
      </c>
      <c r="Q41" s="147">
        <f>P41</f>
        <v>2</v>
      </c>
      <c r="R41" s="147">
        <f>Q41</f>
        <v>2</v>
      </c>
      <c r="S41" s="147">
        <f>R41</f>
        <v>2</v>
      </c>
      <c r="T41" s="147">
        <f>S41</f>
        <v>2</v>
      </c>
      <c r="U41" s="147">
        <f>T41</f>
        <v>2</v>
      </c>
      <c r="V41" s="147">
        <f>U41</f>
        <v>2</v>
      </c>
      <c r="W41" s="147">
        <f>V41</f>
        <v>2</v>
      </c>
      <c r="X41" s="147">
        <f>W41</f>
        <v>2</v>
      </c>
      <c r="Y41" s="147">
        <f>X41</f>
        <v>2</v>
      </c>
      <c r="Z41" s="133"/>
      <c r="AA41" s="133"/>
      <c r="AB41" s="133"/>
      <c r="AC41" s="133"/>
      <c r="AD41" s="133"/>
      <c r="AE41" s="133"/>
    </row>
    <row r="42" ht="19" customHeight="1">
      <c r="A42" s="119">
        <v>29</v>
      </c>
      <c r="B42" t="s" s="91">
        <v>81</v>
      </c>
      <c r="C42" t="s" s="77">
        <v>126</v>
      </c>
      <c r="D42" s="134"/>
      <c r="E42" s="135"/>
      <c r="F42" s="136"/>
      <c r="G42" s="124"/>
      <c r="H42" s="137"/>
      <c r="I42" s="89"/>
      <c r="J42" s="89"/>
      <c r="K42" s="89"/>
      <c r="L42" s="138"/>
      <c r="M42" s="153"/>
      <c r="N42" s="154"/>
      <c r="O42" s="154"/>
      <c r="P42" s="154"/>
      <c r="Q42" s="154"/>
      <c r="R42" s="154"/>
      <c r="S42" s="154"/>
      <c r="T42" s="154"/>
      <c r="U42" s="154"/>
      <c r="V42" s="154"/>
      <c r="W42" s="154"/>
      <c r="X42" s="154"/>
      <c r="Y42" s="154"/>
      <c r="Z42" s="150"/>
      <c r="AA42" s="133"/>
      <c r="AB42" s="133"/>
      <c r="AC42" s="133"/>
      <c r="AD42" s="133"/>
      <c r="AE42" s="133"/>
    </row>
    <row r="43" ht="19" customHeight="1">
      <c r="A43" s="119">
        <v>30</v>
      </c>
      <c r="B43" t="s" s="91">
        <v>82</v>
      </c>
      <c r="C43" t="s" s="77">
        <v>126</v>
      </c>
      <c r="D43" s="134"/>
      <c r="E43" s="135"/>
      <c r="F43" s="136"/>
      <c r="G43" s="124"/>
      <c r="H43" s="137"/>
      <c r="I43" s="89"/>
      <c r="J43" s="89"/>
      <c r="K43" s="89"/>
      <c r="L43" s="138"/>
      <c r="M43" s="153"/>
      <c r="N43" s="154"/>
      <c r="O43" s="154"/>
      <c r="P43" s="154"/>
      <c r="Q43" s="154"/>
      <c r="R43" s="154"/>
      <c r="S43" s="154"/>
      <c r="T43" s="154"/>
      <c r="U43" s="154"/>
      <c r="V43" s="154"/>
      <c r="W43" s="154"/>
      <c r="X43" s="154"/>
      <c r="Y43" s="154"/>
      <c r="Z43" s="150"/>
      <c r="AA43" s="133"/>
      <c r="AB43" s="133"/>
      <c r="AC43" s="133"/>
      <c r="AD43" s="133"/>
      <c r="AE43" s="133"/>
    </row>
    <row r="44" ht="19" customHeight="1">
      <c r="A44" s="119">
        <v>31</v>
      </c>
      <c r="B44" t="s" s="91">
        <v>83</v>
      </c>
      <c r="C44" t="s" s="77">
        <v>126</v>
      </c>
      <c r="D44" s="134"/>
      <c r="E44" s="135"/>
      <c r="F44" s="136"/>
      <c r="G44" s="124"/>
      <c r="H44" s="137"/>
      <c r="I44" s="89"/>
      <c r="J44" s="89"/>
      <c r="K44" s="89"/>
      <c r="L44" s="138"/>
      <c r="M44" s="153"/>
      <c r="N44" s="154"/>
      <c r="O44" s="154"/>
      <c r="P44" s="154"/>
      <c r="Q44" s="154"/>
      <c r="R44" s="154"/>
      <c r="S44" s="154"/>
      <c r="T44" s="154"/>
      <c r="U44" s="154"/>
      <c r="V44" s="154"/>
      <c r="W44" s="154"/>
      <c r="X44" s="154"/>
      <c r="Y44" s="154"/>
      <c r="Z44" s="150"/>
      <c r="AA44" s="133"/>
      <c r="AB44" s="133"/>
      <c r="AC44" s="133"/>
      <c r="AD44" s="133"/>
      <c r="AE44" s="133"/>
    </row>
    <row r="45" ht="19" customHeight="1">
      <c r="A45" s="119">
        <v>32</v>
      </c>
      <c r="B45" t="s" s="91">
        <v>84</v>
      </c>
      <c r="C45" s="141"/>
      <c r="D45" s="134"/>
      <c r="E45" s="122">
        <f>$C$3*(1/($C$9*1000))*G45</f>
        <v>0.4953225986949298</v>
      </c>
      <c r="F45" s="136"/>
      <c r="G45" s="124">
        <f>HLOOKUP($C$4,$M$14:$X$68,A45)</f>
        <v>2.5</v>
      </c>
      <c r="H45" s="137"/>
      <c r="I45" s="89"/>
      <c r="J45" s="89"/>
      <c r="K45" s="89"/>
      <c r="L45" s="138"/>
      <c r="M45" s="127">
        <v>2.5</v>
      </c>
      <c r="N45" s="142">
        <f>M45</f>
        <v>2.5</v>
      </c>
      <c r="O45" s="143">
        <f>N45</f>
        <v>2.5</v>
      </c>
      <c r="P45" s="143">
        <f>O45</f>
        <v>2.5</v>
      </c>
      <c r="Q45" s="143">
        <f>P45</f>
        <v>2.5</v>
      </c>
      <c r="R45" s="143">
        <f>Q45</f>
        <v>2.5</v>
      </c>
      <c r="S45" s="143">
        <f>R45</f>
        <v>2.5</v>
      </c>
      <c r="T45" s="143">
        <f>S45</f>
        <v>2.5</v>
      </c>
      <c r="U45" s="143">
        <f>T45</f>
        <v>2.5</v>
      </c>
      <c r="V45" s="143">
        <f>U45</f>
        <v>2.5</v>
      </c>
      <c r="W45" s="143">
        <f>V45</f>
        <v>2.5</v>
      </c>
      <c r="X45" s="143">
        <f>W45</f>
        <v>2.5</v>
      </c>
      <c r="Y45" s="143">
        <f>X45</f>
        <v>2.5</v>
      </c>
      <c r="Z45" s="133"/>
      <c r="AA45" s="133"/>
      <c r="AB45" s="133"/>
      <c r="AC45" s="133"/>
      <c r="AD45" s="133"/>
      <c r="AE45" s="133"/>
    </row>
    <row r="46" ht="19" customHeight="1">
      <c r="A46" s="119">
        <v>33</v>
      </c>
      <c r="B46" t="s" s="91">
        <v>85</v>
      </c>
      <c r="C46" s="141"/>
      <c r="D46" s="134"/>
      <c r="E46" s="122">
        <f>$C$3*(1/($C$9*1000))*G46</f>
        <v>0.7429838980423947</v>
      </c>
      <c r="F46" s="136"/>
      <c r="G46" s="124">
        <f>HLOOKUP($C$4,$M$14:$X$68,A46)</f>
        <v>3.75</v>
      </c>
      <c r="H46" s="137"/>
      <c r="I46" s="89"/>
      <c r="J46" s="89"/>
      <c r="K46" s="89"/>
      <c r="L46" s="138"/>
      <c r="M46" s="127">
        <v>3.75</v>
      </c>
      <c r="N46" s="152">
        <f>M46</f>
        <v>3.75</v>
      </c>
      <c r="O46" s="147">
        <f>N46</f>
        <v>3.75</v>
      </c>
      <c r="P46" s="147">
        <f>O46</f>
        <v>3.75</v>
      </c>
      <c r="Q46" s="147">
        <f>P46</f>
        <v>3.75</v>
      </c>
      <c r="R46" s="147">
        <f>Q46</f>
        <v>3.75</v>
      </c>
      <c r="S46" s="147">
        <f>R46</f>
        <v>3.75</v>
      </c>
      <c r="T46" s="147">
        <f>S46</f>
        <v>3.75</v>
      </c>
      <c r="U46" s="147">
        <f>T46</f>
        <v>3.75</v>
      </c>
      <c r="V46" s="147">
        <f>U46</f>
        <v>3.75</v>
      </c>
      <c r="W46" s="147">
        <f>V46</f>
        <v>3.75</v>
      </c>
      <c r="X46" s="147">
        <f>W46</f>
        <v>3.75</v>
      </c>
      <c r="Y46" s="147">
        <f>X46</f>
        <v>3.75</v>
      </c>
      <c r="Z46" s="133"/>
      <c r="AA46" s="133"/>
      <c r="AB46" s="133"/>
      <c r="AC46" s="133"/>
      <c r="AD46" s="133"/>
      <c r="AE46" s="133"/>
    </row>
    <row r="47" ht="19" customHeight="1">
      <c r="A47" s="119">
        <v>34</v>
      </c>
      <c r="B47" t="s" s="91">
        <v>86</v>
      </c>
      <c r="C47" t="s" s="77">
        <v>126</v>
      </c>
      <c r="D47" s="134"/>
      <c r="E47" s="135"/>
      <c r="F47" s="136"/>
      <c r="G47" s="124"/>
      <c r="H47" s="137"/>
      <c r="I47" s="89"/>
      <c r="J47" s="89"/>
      <c r="K47" s="89"/>
      <c r="L47" s="138"/>
      <c r="M47" s="153"/>
      <c r="N47" s="154"/>
      <c r="O47" s="154"/>
      <c r="P47" s="154"/>
      <c r="Q47" s="154"/>
      <c r="R47" s="154"/>
      <c r="S47" s="154"/>
      <c r="T47" s="154"/>
      <c r="U47" s="154"/>
      <c r="V47" s="154"/>
      <c r="W47" s="154"/>
      <c r="X47" s="154"/>
      <c r="Y47" s="154"/>
      <c r="Z47" s="150"/>
      <c r="AA47" s="133"/>
      <c r="AB47" s="133"/>
      <c r="AC47" s="133"/>
      <c r="AD47" s="133"/>
      <c r="AE47" s="133"/>
    </row>
    <row r="48" ht="19" customHeight="1">
      <c r="A48" s="119">
        <v>35</v>
      </c>
      <c r="B48" t="s" s="91">
        <v>87</v>
      </c>
      <c r="C48" s="141"/>
      <c r="D48" s="134"/>
      <c r="E48" s="122">
        <f>$C$3*(1/($C$9*1000))*G48</f>
        <v>1.089709717128845</v>
      </c>
      <c r="F48" s="136"/>
      <c r="G48" s="124">
        <f>HLOOKUP($C$4,$M$14:$X$68,A48)</f>
        <v>5.5</v>
      </c>
      <c r="H48" s="137"/>
      <c r="I48" s="89"/>
      <c r="J48" s="89"/>
      <c r="K48" s="89"/>
      <c r="L48" s="138"/>
      <c r="M48" s="127">
        <v>5.5</v>
      </c>
      <c r="N48" s="142">
        <f>M48</f>
        <v>5.5</v>
      </c>
      <c r="O48" s="143">
        <f>N48</f>
        <v>5.5</v>
      </c>
      <c r="P48" s="143">
        <f>O48</f>
        <v>5.5</v>
      </c>
      <c r="Q48" s="143">
        <f>P48</f>
        <v>5.5</v>
      </c>
      <c r="R48" s="143">
        <f>Q48</f>
        <v>5.5</v>
      </c>
      <c r="S48" s="143">
        <f>R48</f>
        <v>5.5</v>
      </c>
      <c r="T48" s="143">
        <f>S48</f>
        <v>5.5</v>
      </c>
      <c r="U48" s="143">
        <f>T48</f>
        <v>5.5</v>
      </c>
      <c r="V48" s="143">
        <f>U48</f>
        <v>5.5</v>
      </c>
      <c r="W48" s="143">
        <f>V48</f>
        <v>5.5</v>
      </c>
      <c r="X48" s="143">
        <f>W48</f>
        <v>5.5</v>
      </c>
      <c r="Y48" s="143">
        <f>X48</f>
        <v>5.5</v>
      </c>
      <c r="Z48" s="133"/>
      <c r="AA48" s="133"/>
      <c r="AB48" s="133"/>
      <c r="AC48" s="133"/>
      <c r="AD48" s="133"/>
      <c r="AE48" s="133"/>
    </row>
    <row r="49" ht="19" customHeight="1">
      <c r="A49" s="119">
        <v>36</v>
      </c>
      <c r="B49" t="s" s="91">
        <v>88</v>
      </c>
      <c r="C49" s="141"/>
      <c r="D49" s="134"/>
      <c r="E49" s="122">
        <f>$C$3*(1/($C$9*1000))*G49</f>
        <v>1.20066197923651</v>
      </c>
      <c r="F49" s="136"/>
      <c r="G49" s="124">
        <f>HLOOKUP($C$4,$M$14:$X$68,A49)</f>
        <v>6.06</v>
      </c>
      <c r="H49" s="137"/>
      <c r="I49" s="89"/>
      <c r="J49" s="89"/>
      <c r="K49" s="89"/>
      <c r="L49" s="138"/>
      <c r="M49" s="127">
        <v>6.06</v>
      </c>
      <c r="N49" s="148">
        <f>M49</f>
        <v>6.06</v>
      </c>
      <c r="O49" s="146">
        <f>N49</f>
        <v>6.06</v>
      </c>
      <c r="P49" s="146">
        <f>O49</f>
        <v>6.06</v>
      </c>
      <c r="Q49" s="147">
        <f>P49</f>
        <v>6.06</v>
      </c>
      <c r="R49" s="146">
        <f>Q49</f>
        <v>6.06</v>
      </c>
      <c r="S49" s="146">
        <f>R49</f>
        <v>6.06</v>
      </c>
      <c r="T49" s="146">
        <f>S49</f>
        <v>6.06</v>
      </c>
      <c r="U49" s="147">
        <f>T49</f>
        <v>6.06</v>
      </c>
      <c r="V49" s="146">
        <f>U49</f>
        <v>6.06</v>
      </c>
      <c r="W49" s="146">
        <f>V49</f>
        <v>6.06</v>
      </c>
      <c r="X49" s="146">
        <f>W49</f>
        <v>6.06</v>
      </c>
      <c r="Y49" s="146">
        <f>X49</f>
        <v>6.06</v>
      </c>
      <c r="Z49" s="133"/>
      <c r="AA49" s="133"/>
      <c r="AB49" s="133"/>
      <c r="AC49" s="133"/>
      <c r="AD49" s="133"/>
      <c r="AE49" s="133"/>
    </row>
    <row r="50" ht="19" customHeight="1">
      <c r="A50" s="119">
        <v>37</v>
      </c>
      <c r="B50" t="s" s="91">
        <v>89</v>
      </c>
      <c r="C50" s="141"/>
      <c r="D50" s="134"/>
      <c r="E50" s="122">
        <f>$C$3*(1/($C$9*1000))*G50</f>
        <v>0.1386903276345803</v>
      </c>
      <c r="F50" s="136"/>
      <c r="G50" s="124">
        <f>HLOOKUP($C$4,$M$14:$X$68,A50)</f>
        <v>0.7</v>
      </c>
      <c r="H50" s="137"/>
      <c r="I50" s="89"/>
      <c r="J50" s="89"/>
      <c r="K50" s="89"/>
      <c r="L50" s="138"/>
      <c r="M50" s="127">
        <v>0.7</v>
      </c>
      <c r="N50" s="148">
        <f>M50</f>
        <v>0.7</v>
      </c>
      <c r="O50" s="146">
        <f>N50</f>
        <v>0.7</v>
      </c>
      <c r="P50" s="149">
        <f>O50</f>
        <v>0.7</v>
      </c>
      <c r="Q50" s="131">
        <v>1.3</v>
      </c>
      <c r="R50" s="148">
        <f>Q50</f>
        <v>1.3</v>
      </c>
      <c r="S50" s="146">
        <f>R50</f>
        <v>1.3</v>
      </c>
      <c r="T50" s="149">
        <f>S50</f>
        <v>1.3</v>
      </c>
      <c r="U50" s="131">
        <v>3.6</v>
      </c>
      <c r="V50" s="152">
        <f>U50</f>
        <v>3.6</v>
      </c>
      <c r="W50" s="146">
        <f>V50</f>
        <v>3.6</v>
      </c>
      <c r="X50" s="146">
        <f>W50</f>
        <v>3.6</v>
      </c>
      <c r="Y50" s="146">
        <f>X50</f>
        <v>3.6</v>
      </c>
      <c r="Z50" s="133"/>
      <c r="AA50" s="133"/>
      <c r="AB50" s="133"/>
      <c r="AC50" s="133"/>
      <c r="AD50" s="133"/>
      <c r="AE50" s="133"/>
    </row>
    <row r="51" ht="19" customHeight="1">
      <c r="A51" s="119">
        <v>38</v>
      </c>
      <c r="B51" t="s" s="91">
        <v>90</v>
      </c>
      <c r="C51" s="141"/>
      <c r="D51" s="134"/>
      <c r="E51" s="122">
        <f>$C$3*(1/($C$9*1000))*G51</f>
        <v>0.5032477602740487</v>
      </c>
      <c r="F51" s="136"/>
      <c r="G51" s="124">
        <f>HLOOKUP($C$4,$M$14:$X$68,A51)</f>
        <v>2.54</v>
      </c>
      <c r="H51" s="137"/>
      <c r="I51" s="89"/>
      <c r="J51" s="89"/>
      <c r="K51" s="89"/>
      <c r="L51" s="138"/>
      <c r="M51" s="127">
        <v>2.54</v>
      </c>
      <c r="N51" s="148">
        <f>M51</f>
        <v>2.54</v>
      </c>
      <c r="O51" s="146">
        <f>N51</f>
        <v>2.54</v>
      </c>
      <c r="P51" s="146">
        <f>O51</f>
        <v>2.54</v>
      </c>
      <c r="Q51" s="143">
        <f>P51</f>
        <v>2.54</v>
      </c>
      <c r="R51" s="146">
        <f>Q51</f>
        <v>2.54</v>
      </c>
      <c r="S51" s="146">
        <f>R51</f>
        <v>2.54</v>
      </c>
      <c r="T51" s="146">
        <f>S51</f>
        <v>2.54</v>
      </c>
      <c r="U51" s="144">
        <f>T51</f>
        <v>2.54</v>
      </c>
      <c r="V51" s="131">
        <v>6.44</v>
      </c>
      <c r="W51" s="148">
        <f>V51</f>
        <v>6.44</v>
      </c>
      <c r="X51" s="146">
        <f>W51</f>
        <v>6.44</v>
      </c>
      <c r="Y51" s="146">
        <f>X51</f>
        <v>6.44</v>
      </c>
      <c r="Z51" s="133"/>
      <c r="AA51" s="133"/>
      <c r="AB51" s="133"/>
      <c r="AC51" s="133"/>
      <c r="AD51" s="133"/>
      <c r="AE51" s="133"/>
    </row>
    <row r="52" ht="19" customHeight="1">
      <c r="A52" s="119">
        <v>39</v>
      </c>
      <c r="B52" t="s" s="91">
        <v>130</v>
      </c>
      <c r="C52" s="141"/>
      <c r="D52" s="134"/>
      <c r="E52" s="122">
        <f>$C$3*(1/($C$9*1000))*G52</f>
        <v>0.7013767997520206</v>
      </c>
      <c r="F52" s="136"/>
      <c r="G52" s="124">
        <f>HLOOKUP($C$4,$M$14:$X$68,A52)+L52</f>
        <v>3.54</v>
      </c>
      <c r="H52" s="137"/>
      <c r="I52" s="89"/>
      <c r="J52" s="89"/>
      <c r="K52" s="89"/>
      <c r="L52" s="151">
        <v>1</v>
      </c>
      <c r="M52" s="161">
        <f>M51</f>
        <v>2.54</v>
      </c>
      <c r="N52" s="147">
        <f>M52</f>
        <v>2.54</v>
      </c>
      <c r="O52" s="147">
        <f>N52</f>
        <v>2.54</v>
      </c>
      <c r="P52" s="147">
        <f>O52</f>
        <v>2.54</v>
      </c>
      <c r="Q52" s="147">
        <f>P52</f>
        <v>2.54</v>
      </c>
      <c r="R52" s="147">
        <f>Q52</f>
        <v>2.54</v>
      </c>
      <c r="S52" s="147">
        <f>R52</f>
        <v>2.54</v>
      </c>
      <c r="T52" s="147">
        <f>S52</f>
        <v>2.54</v>
      </c>
      <c r="U52" s="147">
        <f>T52</f>
        <v>2.54</v>
      </c>
      <c r="V52" s="129">
        <f>V51</f>
        <v>6.44</v>
      </c>
      <c r="W52" s="147">
        <f>V52</f>
        <v>6.44</v>
      </c>
      <c r="X52" s="147">
        <f>W52</f>
        <v>6.44</v>
      </c>
      <c r="Y52" s="147">
        <f>X52</f>
        <v>6.44</v>
      </c>
      <c r="Z52" s="133"/>
      <c r="AA52" s="133"/>
      <c r="AB52" s="133"/>
      <c r="AC52" s="133"/>
      <c r="AD52" s="133"/>
      <c r="AE52" s="133"/>
    </row>
    <row r="53" ht="19" customHeight="1">
      <c r="A53" s="119">
        <v>40</v>
      </c>
      <c r="B53" t="s" s="91">
        <v>92</v>
      </c>
      <c r="C53" t="s" s="77">
        <v>126</v>
      </c>
      <c r="D53" s="134"/>
      <c r="E53" s="135"/>
      <c r="F53" s="136"/>
      <c r="G53" s="124"/>
      <c r="H53" s="137"/>
      <c r="I53" s="89"/>
      <c r="J53" s="89"/>
      <c r="K53" s="89"/>
      <c r="L53" s="138"/>
      <c r="M53" s="153"/>
      <c r="N53" s="154"/>
      <c r="O53" s="154"/>
      <c r="P53" s="154"/>
      <c r="Q53" s="154"/>
      <c r="R53" s="154"/>
      <c r="S53" s="154"/>
      <c r="T53" s="154"/>
      <c r="U53" s="154"/>
      <c r="V53" s="154"/>
      <c r="W53" s="154"/>
      <c r="X53" s="154"/>
      <c r="Y53" s="154"/>
      <c r="Z53" s="150"/>
      <c r="AA53" s="133"/>
      <c r="AB53" s="133"/>
      <c r="AC53" s="133"/>
      <c r="AD53" s="133"/>
      <c r="AE53" s="133"/>
    </row>
    <row r="54" ht="19" customHeight="1">
      <c r="A54" s="119">
        <v>41</v>
      </c>
      <c r="B54" t="s" s="91">
        <v>93</v>
      </c>
      <c r="C54" s="141"/>
      <c r="D54" s="134"/>
      <c r="E54" s="122">
        <f>$C$3*(1/($C$9*1000))*G54</f>
        <v>1.101597459497524</v>
      </c>
      <c r="F54" s="136"/>
      <c r="G54" s="124">
        <f>HLOOKUP($C$4,$M$14:$X$68,A54)</f>
        <v>5.56</v>
      </c>
      <c r="H54" s="137"/>
      <c r="I54" s="89"/>
      <c r="J54" s="89"/>
      <c r="K54" s="89"/>
      <c r="L54" s="138"/>
      <c r="M54" s="127">
        <v>5.56</v>
      </c>
      <c r="N54" s="128">
        <f>M54</f>
        <v>5.56</v>
      </c>
      <c r="O54" s="129">
        <f>N54</f>
        <v>5.56</v>
      </c>
      <c r="P54" s="129">
        <f>O54</f>
        <v>5.56</v>
      </c>
      <c r="Q54" s="129">
        <f>P54</f>
        <v>5.56</v>
      </c>
      <c r="R54" s="129">
        <f>Q54</f>
        <v>5.56</v>
      </c>
      <c r="S54" s="129">
        <f>R54</f>
        <v>5.56</v>
      </c>
      <c r="T54" s="129">
        <f>S54</f>
        <v>5.56</v>
      </c>
      <c r="U54" s="129">
        <f>T54</f>
        <v>5.56</v>
      </c>
      <c r="V54" s="129">
        <f>U54</f>
        <v>5.56</v>
      </c>
      <c r="W54" s="129">
        <f>V54</f>
        <v>5.56</v>
      </c>
      <c r="X54" s="129">
        <f>W54</f>
        <v>5.56</v>
      </c>
      <c r="Y54" s="129">
        <f>X54</f>
        <v>5.56</v>
      </c>
      <c r="Z54" s="133"/>
      <c r="AA54" s="133"/>
      <c r="AB54" s="133"/>
      <c r="AC54" s="133"/>
      <c r="AD54" s="133"/>
      <c r="AE54" s="133"/>
    </row>
    <row r="55" ht="19" customHeight="1">
      <c r="A55" s="119">
        <v>42</v>
      </c>
      <c r="B55" t="s" s="91">
        <v>94</v>
      </c>
      <c r="C55" t="s" s="77">
        <v>126</v>
      </c>
      <c r="D55" s="134"/>
      <c r="E55" s="135"/>
      <c r="F55" s="136"/>
      <c r="G55" s="124"/>
      <c r="H55" s="137"/>
      <c r="I55" s="89"/>
      <c r="J55" s="89"/>
      <c r="K55" s="89"/>
      <c r="L55" s="138"/>
      <c r="M55" s="153"/>
      <c r="N55" s="154"/>
      <c r="O55" s="154"/>
      <c r="P55" s="154"/>
      <c r="Q55" s="154"/>
      <c r="R55" s="154"/>
      <c r="S55" s="154"/>
      <c r="T55" s="154"/>
      <c r="U55" s="154"/>
      <c r="V55" s="154"/>
      <c r="W55" s="154"/>
      <c r="X55" s="154"/>
      <c r="Y55" s="154"/>
      <c r="Z55" s="150"/>
      <c r="AA55" s="133"/>
      <c r="AB55" s="133"/>
      <c r="AC55" s="133"/>
      <c r="AD55" s="133"/>
      <c r="AE55" s="133"/>
    </row>
    <row r="56" ht="19" customHeight="1">
      <c r="A56" s="119">
        <v>43</v>
      </c>
      <c r="B56" t="s" s="91">
        <v>95</v>
      </c>
      <c r="C56" t="s" s="77">
        <v>126</v>
      </c>
      <c r="D56" s="134"/>
      <c r="E56" s="135"/>
      <c r="F56" s="136"/>
      <c r="G56" s="124"/>
      <c r="H56" s="137"/>
      <c r="I56" s="89"/>
      <c r="J56" s="89"/>
      <c r="K56" s="89"/>
      <c r="L56" s="138"/>
      <c r="M56" s="153"/>
      <c r="N56" s="154"/>
      <c r="O56" s="154"/>
      <c r="P56" s="154"/>
      <c r="Q56" s="154"/>
      <c r="R56" s="154"/>
      <c r="S56" s="154"/>
      <c r="T56" s="154"/>
      <c r="U56" s="154"/>
      <c r="V56" s="154"/>
      <c r="W56" s="154"/>
      <c r="X56" s="154"/>
      <c r="Y56" s="154"/>
      <c r="Z56" s="150"/>
      <c r="AA56" s="133"/>
      <c r="AB56" s="133"/>
      <c r="AC56" s="133"/>
      <c r="AD56" s="133"/>
      <c r="AE56" s="133"/>
    </row>
    <row r="57" ht="19" customHeight="1">
      <c r="A57" s="119">
        <v>44</v>
      </c>
      <c r="B57" t="s" s="91">
        <v>96</v>
      </c>
      <c r="C57" s="141"/>
      <c r="D57" s="134"/>
      <c r="E57" s="122">
        <f>$C$3*(1/($C$9*1000))*G57</f>
        <v>0.7429838980423947</v>
      </c>
      <c r="F57" s="136"/>
      <c r="G57" s="124">
        <f>HLOOKUP($C$4,$M$14:$X$68,A57)</f>
        <v>3.75</v>
      </c>
      <c r="H57" s="137"/>
      <c r="I57" s="89"/>
      <c r="J57" s="89"/>
      <c r="K57" s="89"/>
      <c r="L57" s="138"/>
      <c r="M57" s="127">
        <v>3.75</v>
      </c>
      <c r="N57" s="142">
        <f>M57</f>
        <v>3.75</v>
      </c>
      <c r="O57" s="143">
        <f>N57</f>
        <v>3.75</v>
      </c>
      <c r="P57" s="143">
        <f>O57</f>
        <v>3.75</v>
      </c>
      <c r="Q57" s="143">
        <f>P57</f>
        <v>3.75</v>
      </c>
      <c r="R57" s="143">
        <f>Q57</f>
        <v>3.75</v>
      </c>
      <c r="S57" s="143">
        <f>R57</f>
        <v>3.75</v>
      </c>
      <c r="T57" s="143">
        <f>S57</f>
        <v>3.75</v>
      </c>
      <c r="U57" s="143">
        <f>T57</f>
        <v>3.75</v>
      </c>
      <c r="V57" s="143">
        <f>U57</f>
        <v>3.75</v>
      </c>
      <c r="W57" s="143">
        <f>V57</f>
        <v>3.75</v>
      </c>
      <c r="X57" s="143">
        <f>W57</f>
        <v>3.75</v>
      </c>
      <c r="Y57" s="143">
        <f>X57</f>
        <v>3.75</v>
      </c>
      <c r="Z57" s="133"/>
      <c r="AA57" s="133"/>
      <c r="AB57" s="133"/>
      <c r="AC57" s="133"/>
      <c r="AD57" s="133"/>
      <c r="AE57" s="133"/>
    </row>
    <row r="58" ht="19" customHeight="1">
      <c r="A58" s="119">
        <v>45</v>
      </c>
      <c r="B58" t="s" s="91">
        <v>97</v>
      </c>
      <c r="C58" s="141"/>
      <c r="D58" s="134"/>
      <c r="E58" s="122">
        <f>(J58/$C$5)+K58*$C$6+$C$3*(1/($C$9*1000))*G58</f>
        <v>1.838123108592205</v>
      </c>
      <c r="F58" s="136"/>
      <c r="G58" s="124">
        <f>HLOOKUP($C$4,$M$14:$X$68,A58)</f>
        <v>2.72</v>
      </c>
      <c r="H58" s="137"/>
      <c r="I58" s="89"/>
      <c r="J58" s="162">
        <v>5.36</v>
      </c>
      <c r="K58" s="157">
        <v>0.09</v>
      </c>
      <c r="L58" s="138"/>
      <c r="M58" s="127">
        <v>2.72</v>
      </c>
      <c r="N58" s="148">
        <f>M58</f>
        <v>2.72</v>
      </c>
      <c r="O58" s="146">
        <f>N58</f>
        <v>2.72</v>
      </c>
      <c r="P58" s="146">
        <f>O58</f>
        <v>2.72</v>
      </c>
      <c r="Q58" s="147">
        <f>P58</f>
        <v>2.72</v>
      </c>
      <c r="R58" s="146">
        <f>Q58</f>
        <v>2.72</v>
      </c>
      <c r="S58" s="146">
        <f>R58</f>
        <v>2.72</v>
      </c>
      <c r="T58" s="146">
        <f>S58</f>
        <v>2.72</v>
      </c>
      <c r="U58" s="146">
        <f>T58</f>
        <v>2.72</v>
      </c>
      <c r="V58" s="146">
        <f>U58</f>
        <v>2.72</v>
      </c>
      <c r="W58" s="146">
        <f>V58</f>
        <v>2.72</v>
      </c>
      <c r="X58" s="146">
        <f>W58</f>
        <v>2.72</v>
      </c>
      <c r="Y58" s="146">
        <f>X58</f>
        <v>2.72</v>
      </c>
      <c r="Z58" s="133"/>
      <c r="AA58" s="133"/>
      <c r="AB58" s="133"/>
      <c r="AC58" s="133"/>
      <c r="AD58" s="133"/>
      <c r="AE58" s="133"/>
    </row>
    <row r="59" ht="19" customHeight="1">
      <c r="A59" s="119">
        <v>46</v>
      </c>
      <c r="B59" t="s" s="91">
        <v>98</v>
      </c>
      <c r="C59" s="141"/>
      <c r="D59" s="134"/>
      <c r="E59" s="122">
        <f>(J59/$C$5)+K59*$C$6+$C$3*(1/($C$9*1000))*G59</f>
        <v>0.3737145521690594</v>
      </c>
      <c r="F59" s="136"/>
      <c r="G59" s="124">
        <f>HLOOKUP($C$4,$M$14:$X$68,A59)</f>
        <v>0.93</v>
      </c>
      <c r="H59" s="137"/>
      <c r="I59" s="89"/>
      <c r="J59" s="89"/>
      <c r="K59" s="157">
        <v>0.02</v>
      </c>
      <c r="L59" s="138"/>
      <c r="M59" s="127">
        <v>0.93</v>
      </c>
      <c r="N59" s="148">
        <f>M59</f>
        <v>0.93</v>
      </c>
      <c r="O59" s="146">
        <f>N59</f>
        <v>0.93</v>
      </c>
      <c r="P59" s="163">
        <f>O59</f>
        <v>0.93</v>
      </c>
      <c r="Q59" s="131">
        <v>3.93</v>
      </c>
      <c r="R59" s="148">
        <f>Q59</f>
        <v>3.93</v>
      </c>
      <c r="S59" s="146">
        <f>R59</f>
        <v>3.93</v>
      </c>
      <c r="T59" s="146">
        <f>S59</f>
        <v>3.93</v>
      </c>
      <c r="U59" s="146">
        <f>T59</f>
        <v>3.93</v>
      </c>
      <c r="V59" s="146">
        <f>U59</f>
        <v>3.93</v>
      </c>
      <c r="W59" s="146">
        <f>V59</f>
        <v>3.93</v>
      </c>
      <c r="X59" s="146">
        <f>W59</f>
        <v>3.93</v>
      </c>
      <c r="Y59" s="146">
        <f>X59</f>
        <v>3.93</v>
      </c>
      <c r="Z59" s="133"/>
      <c r="AA59" s="133"/>
      <c r="AB59" s="133"/>
      <c r="AC59" s="133"/>
      <c r="AD59" s="133"/>
      <c r="AE59" s="133"/>
    </row>
    <row r="60" ht="19" customHeight="1">
      <c r="A60" s="119">
        <v>47</v>
      </c>
      <c r="B60" t="s" s="91">
        <v>99</v>
      </c>
      <c r="C60" s="141"/>
      <c r="D60" s="134"/>
      <c r="E60" s="122">
        <f>$C$3*(1/($C$9*1000))*G60</f>
        <v>0.8717677737030766</v>
      </c>
      <c r="F60" s="136"/>
      <c r="G60" s="124">
        <f>HLOOKUP($C$4,$M$14:$X$68,A60)</f>
        <v>4.4</v>
      </c>
      <c r="H60" s="137"/>
      <c r="I60" s="89"/>
      <c r="J60" s="89"/>
      <c r="K60" s="89"/>
      <c r="L60" s="138"/>
      <c r="M60" s="127">
        <v>1.1</v>
      </c>
      <c r="N60" s="148">
        <f>M60</f>
        <v>1.1</v>
      </c>
      <c r="O60" s="149">
        <f>N60</f>
        <v>1.1</v>
      </c>
      <c r="P60" s="131">
        <v>4.4</v>
      </c>
      <c r="Q60" s="142">
        <f>P60</f>
        <v>4.4</v>
      </c>
      <c r="R60" s="146">
        <f>Q60</f>
        <v>4.4</v>
      </c>
      <c r="S60" s="146">
        <f>R60</f>
        <v>4.4</v>
      </c>
      <c r="T60" s="146">
        <f>S60</f>
        <v>4.4</v>
      </c>
      <c r="U60" s="146">
        <f>T60</f>
        <v>4.4</v>
      </c>
      <c r="V60" s="146">
        <f>U60</f>
        <v>4.4</v>
      </c>
      <c r="W60" s="146">
        <f>V60</f>
        <v>4.4</v>
      </c>
      <c r="X60" s="146">
        <f>W60</f>
        <v>4.4</v>
      </c>
      <c r="Y60" s="146">
        <f>X60</f>
        <v>4.4</v>
      </c>
      <c r="Z60" s="133"/>
      <c r="AA60" s="133"/>
      <c r="AB60" s="133"/>
      <c r="AC60" s="133"/>
      <c r="AD60" s="133"/>
      <c r="AE60" s="133"/>
    </row>
    <row r="61" ht="19" customHeight="1">
      <c r="A61" s="119">
        <v>48</v>
      </c>
      <c r="B61" t="s" s="91">
        <v>100</v>
      </c>
      <c r="C61" s="141"/>
      <c r="D61" s="134"/>
      <c r="E61" s="122">
        <f>$C$3*(1/($C$9*1000))*G61</f>
        <v>0.4755096947471326</v>
      </c>
      <c r="F61" s="136"/>
      <c r="G61" s="124">
        <f>HLOOKUP($C$4,$M$14:$X$68,A61)</f>
        <v>2.4</v>
      </c>
      <c r="H61" s="137"/>
      <c r="I61" s="70"/>
      <c r="J61" s="70"/>
      <c r="K61" s="70"/>
      <c r="L61" s="138"/>
      <c r="M61" s="127">
        <v>2.4</v>
      </c>
      <c r="N61" s="152">
        <f>M61</f>
        <v>2.4</v>
      </c>
      <c r="O61" s="147">
        <f>N61</f>
        <v>2.4</v>
      </c>
      <c r="P61" s="129">
        <f>O61</f>
        <v>2.4</v>
      </c>
      <c r="Q61" s="147">
        <f>P61</f>
        <v>2.4</v>
      </c>
      <c r="R61" s="147">
        <f>Q61</f>
        <v>2.4</v>
      </c>
      <c r="S61" s="147">
        <f>R61</f>
        <v>2.4</v>
      </c>
      <c r="T61" s="147">
        <f>S61</f>
        <v>2.4</v>
      </c>
      <c r="U61" s="147">
        <f>T61</f>
        <v>2.4</v>
      </c>
      <c r="V61" s="147">
        <f>U61</f>
        <v>2.4</v>
      </c>
      <c r="W61" s="147">
        <f>V61</f>
        <v>2.4</v>
      </c>
      <c r="X61" s="147">
        <f>W61</f>
        <v>2.4</v>
      </c>
      <c r="Y61" s="147">
        <f>X61</f>
        <v>2.4</v>
      </c>
      <c r="Z61" s="133"/>
      <c r="AA61" s="133"/>
      <c r="AB61" s="133"/>
      <c r="AC61" s="133"/>
      <c r="AD61" s="133"/>
      <c r="AE61" s="133"/>
    </row>
    <row r="62" ht="19" customHeight="1">
      <c r="A62" s="119">
        <v>49</v>
      </c>
      <c r="B62" t="s" s="91">
        <v>101</v>
      </c>
      <c r="C62" t="s" s="77">
        <v>126</v>
      </c>
      <c r="D62" s="134"/>
      <c r="E62" s="135"/>
      <c r="F62" s="136"/>
      <c r="G62" s="124"/>
      <c r="H62" s="137"/>
      <c r="I62" s="70"/>
      <c r="J62" s="70"/>
      <c r="K62" s="70"/>
      <c r="L62" s="138"/>
      <c r="M62" s="153"/>
      <c r="N62" s="154"/>
      <c r="O62" s="154"/>
      <c r="P62" s="154"/>
      <c r="Q62" s="154"/>
      <c r="R62" s="154"/>
      <c r="S62" s="154"/>
      <c r="T62" s="154"/>
      <c r="U62" s="154"/>
      <c r="V62" s="154"/>
      <c r="W62" s="154"/>
      <c r="X62" s="154"/>
      <c r="Y62" s="154"/>
      <c r="Z62" s="150"/>
      <c r="AA62" s="133"/>
      <c r="AB62" s="133"/>
      <c r="AC62" s="133"/>
      <c r="AD62" s="133"/>
      <c r="AE62" s="133"/>
    </row>
    <row r="63" ht="19" customHeight="1">
      <c r="A63" s="119">
        <v>50</v>
      </c>
      <c r="B63" t="s" s="91">
        <v>102</v>
      </c>
      <c r="C63" t="s" s="77">
        <v>126</v>
      </c>
      <c r="D63" s="134"/>
      <c r="E63" s="135"/>
      <c r="F63" s="136"/>
      <c r="G63" s="124"/>
      <c r="H63" s="137"/>
      <c r="I63" s="70"/>
      <c r="J63" s="70"/>
      <c r="K63" s="70"/>
      <c r="L63" s="138"/>
      <c r="M63" s="153"/>
      <c r="N63" s="154"/>
      <c r="O63" s="154"/>
      <c r="P63" s="154"/>
      <c r="Q63" s="154"/>
      <c r="R63" s="154"/>
      <c r="S63" s="154"/>
      <c r="T63" s="154"/>
      <c r="U63" s="154"/>
      <c r="V63" s="154"/>
      <c r="W63" s="154"/>
      <c r="X63" s="154"/>
      <c r="Y63" s="154"/>
      <c r="Z63" s="150"/>
      <c r="AA63" s="133"/>
      <c r="AB63" s="133"/>
      <c r="AC63" s="133"/>
      <c r="AD63" s="133"/>
      <c r="AE63" s="133"/>
    </row>
    <row r="64" ht="19" customHeight="1">
      <c r="A64" s="119">
        <v>51</v>
      </c>
      <c r="B64" t="s" s="91">
        <v>103</v>
      </c>
      <c r="C64" t="s" s="77">
        <v>126</v>
      </c>
      <c r="D64" s="134"/>
      <c r="E64" s="135"/>
      <c r="F64" s="136"/>
      <c r="G64" s="124"/>
      <c r="H64" s="137"/>
      <c r="I64" s="70"/>
      <c r="J64" s="70"/>
      <c r="K64" s="70"/>
      <c r="L64" s="138"/>
      <c r="M64" s="153"/>
      <c r="N64" s="154"/>
      <c r="O64" s="154"/>
      <c r="P64" s="154"/>
      <c r="Q64" s="154"/>
      <c r="R64" s="154"/>
      <c r="S64" s="154"/>
      <c r="T64" s="154"/>
      <c r="U64" s="154"/>
      <c r="V64" s="154"/>
      <c r="W64" s="154"/>
      <c r="X64" s="154"/>
      <c r="Y64" s="154"/>
      <c r="Z64" s="150"/>
      <c r="AA64" s="133"/>
      <c r="AB64" s="133"/>
      <c r="AC64" s="133"/>
      <c r="AD64" s="133"/>
      <c r="AE64" s="133"/>
    </row>
    <row r="65" ht="19" customHeight="1">
      <c r="A65" s="119">
        <v>52</v>
      </c>
      <c r="B65" t="s" s="91">
        <v>104</v>
      </c>
      <c r="C65" t="s" s="77">
        <v>126</v>
      </c>
      <c r="D65" s="134"/>
      <c r="E65" s="135"/>
      <c r="F65" s="136"/>
      <c r="G65" s="124"/>
      <c r="H65" s="137"/>
      <c r="I65" s="70"/>
      <c r="J65" s="70"/>
      <c r="K65" s="70"/>
      <c r="L65" s="138"/>
      <c r="M65" s="153"/>
      <c r="N65" s="154"/>
      <c r="O65" s="154"/>
      <c r="P65" s="154"/>
      <c r="Q65" s="154"/>
      <c r="R65" s="154"/>
      <c r="S65" s="154"/>
      <c r="T65" s="154"/>
      <c r="U65" s="154"/>
      <c r="V65" s="154"/>
      <c r="W65" s="154"/>
      <c r="X65" s="154"/>
      <c r="Y65" s="154"/>
      <c r="Z65" s="150"/>
      <c r="AA65" s="133"/>
      <c r="AB65" s="133"/>
      <c r="AC65" s="133"/>
      <c r="AD65" s="133"/>
      <c r="AE65" s="133"/>
    </row>
    <row r="66" ht="19" customHeight="1">
      <c r="A66" s="119">
        <v>53</v>
      </c>
      <c r="B66" t="s" s="91">
        <v>105</v>
      </c>
      <c r="C66" s="141"/>
      <c r="D66" s="134"/>
      <c r="E66" s="122">
        <f>$C$3*(1/($C$9*1000))*G66</f>
        <v>0.6439193783034087</v>
      </c>
      <c r="F66" s="136"/>
      <c r="G66" s="124">
        <f>HLOOKUP($C$4,$M$14:$X$68,A66)</f>
        <v>3.25</v>
      </c>
      <c r="H66" s="137"/>
      <c r="I66" s="70"/>
      <c r="J66" s="70"/>
      <c r="K66" s="70"/>
      <c r="L66" s="138"/>
      <c r="M66" s="127">
        <v>3.25</v>
      </c>
      <c r="N66" s="128">
        <f>M66</f>
        <v>3.25</v>
      </c>
      <c r="O66" s="129">
        <f>N66</f>
        <v>3.25</v>
      </c>
      <c r="P66" s="129">
        <f>O66</f>
        <v>3.25</v>
      </c>
      <c r="Q66" s="129">
        <f>P66</f>
        <v>3.25</v>
      </c>
      <c r="R66" s="129">
        <f>Q66</f>
        <v>3.25</v>
      </c>
      <c r="S66" s="129">
        <f>R66</f>
        <v>3.25</v>
      </c>
      <c r="T66" s="129">
        <f>S66</f>
        <v>3.25</v>
      </c>
      <c r="U66" s="129">
        <f>T66</f>
        <v>3.25</v>
      </c>
      <c r="V66" s="129">
        <f>U66</f>
        <v>3.25</v>
      </c>
      <c r="W66" s="129">
        <f>V66</f>
        <v>3.25</v>
      </c>
      <c r="X66" s="129">
        <f>W66</f>
        <v>3.25</v>
      </c>
      <c r="Y66" s="129">
        <f>X66</f>
        <v>3.25</v>
      </c>
      <c r="Z66" s="133"/>
      <c r="AA66" s="133"/>
      <c r="AB66" s="133"/>
      <c r="AC66" s="133"/>
      <c r="AD66" s="133"/>
      <c r="AE66" s="133"/>
    </row>
    <row r="67" ht="19" customHeight="1">
      <c r="A67" s="119">
        <v>54</v>
      </c>
      <c r="B67" t="s" s="91">
        <v>106</v>
      </c>
      <c r="C67" t="s" s="77">
        <v>126</v>
      </c>
      <c r="D67" s="134"/>
      <c r="E67" s="135"/>
      <c r="F67" s="136"/>
      <c r="G67" s="124"/>
      <c r="H67" s="137"/>
      <c r="I67" s="70"/>
      <c r="J67" s="70"/>
      <c r="K67" s="70"/>
      <c r="L67" s="138"/>
      <c r="M67" s="153"/>
      <c r="N67" s="154"/>
      <c r="O67" s="154"/>
      <c r="P67" s="154"/>
      <c r="Q67" s="154"/>
      <c r="R67" s="154"/>
      <c r="S67" s="154"/>
      <c r="T67" s="154"/>
      <c r="U67" s="154"/>
      <c r="V67" s="154"/>
      <c r="W67" s="154"/>
      <c r="X67" s="154"/>
      <c r="Y67" s="154"/>
      <c r="Z67" s="150"/>
      <c r="AA67" s="133"/>
      <c r="AB67" s="133"/>
      <c r="AC67" s="133"/>
      <c r="AD67" s="133"/>
      <c r="AE67" s="133"/>
    </row>
    <row r="68" ht="19" customHeight="1">
      <c r="A68" s="119">
        <v>55</v>
      </c>
      <c r="B68" t="s" s="91">
        <v>107</v>
      </c>
      <c r="C68" t="s" s="77">
        <v>126</v>
      </c>
      <c r="D68" s="134"/>
      <c r="E68" s="135"/>
      <c r="F68" s="136"/>
      <c r="G68" s="124"/>
      <c r="H68" s="137"/>
      <c r="I68" s="70"/>
      <c r="J68" s="70"/>
      <c r="K68" s="70"/>
      <c r="L68" s="138"/>
      <c r="M68" s="153"/>
      <c r="N68" s="154"/>
      <c r="O68" s="154"/>
      <c r="P68" s="154"/>
      <c r="Q68" s="154"/>
      <c r="R68" s="154"/>
      <c r="S68" s="154"/>
      <c r="T68" s="154"/>
      <c r="U68" s="154"/>
      <c r="V68" s="154"/>
      <c r="W68" s="154"/>
      <c r="X68" s="154"/>
      <c r="Y68" s="154"/>
      <c r="Z68" s="150"/>
      <c r="AA68" s="133"/>
      <c r="AB68" s="133"/>
      <c r="AC68" s="133"/>
      <c r="AD68" s="133"/>
      <c r="AE68" s="133"/>
    </row>
    <row r="69" ht="19" customHeight="1">
      <c r="A69" s="70"/>
      <c r="B69" s="88"/>
      <c r="C69" s="141"/>
      <c r="D69" s="70"/>
      <c r="E69" s="164"/>
      <c r="F69" s="70"/>
      <c r="G69" s="164"/>
      <c r="H69" s="70"/>
      <c r="I69" s="70"/>
      <c r="J69" s="70"/>
      <c r="K69" s="70"/>
      <c r="L69" s="70"/>
      <c r="M69" s="165"/>
      <c r="N69" s="165"/>
      <c r="O69" s="165"/>
      <c r="P69" s="165"/>
      <c r="Q69" s="165"/>
      <c r="R69" s="165"/>
      <c r="S69" s="165"/>
      <c r="T69" s="165"/>
      <c r="U69" s="165"/>
      <c r="V69" s="165"/>
      <c r="W69" s="165"/>
      <c r="X69" s="165"/>
      <c r="Y69" s="165"/>
      <c r="Z69" s="133"/>
      <c r="AA69" s="133"/>
      <c r="AB69" s="133"/>
      <c r="AC69" s="133"/>
      <c r="AD69" s="133"/>
      <c r="AE69" s="133"/>
    </row>
    <row r="70" ht="19" customHeight="1">
      <c r="A70" s="70"/>
      <c r="B70" t="s" s="91">
        <v>131</v>
      </c>
      <c r="C70" s="162">
        <v>3.75</v>
      </c>
      <c r="D70" s="70"/>
      <c r="E70" s="70"/>
      <c r="F70" s="70"/>
      <c r="G70" s="70"/>
      <c r="H70" s="70"/>
      <c r="I70" s="70"/>
      <c r="J70" s="70"/>
      <c r="K70" s="70"/>
      <c r="L70" s="70"/>
      <c r="M70" s="162"/>
      <c r="N70" s="162"/>
      <c r="O70" s="162"/>
      <c r="P70" s="162"/>
      <c r="Q70" s="162"/>
      <c r="R70" s="162"/>
      <c r="S70" s="162"/>
      <c r="T70" s="162"/>
      <c r="U70" s="162"/>
      <c r="V70" s="162"/>
      <c r="W70" s="162"/>
      <c r="X70" s="162"/>
      <c r="Y70" s="162"/>
      <c r="Z70" s="133"/>
      <c r="AA70" s="133"/>
      <c r="AB70" s="133"/>
      <c r="AC70" s="133"/>
      <c r="AD70" s="133"/>
      <c r="AE70" s="133"/>
    </row>
  </sheetData>
  <pageMargins left="0.75" right="0.75" top="1" bottom="1" header="0.5" footer="0.5"/>
  <pageSetup firstPageNumber="1" fitToHeight="1" fitToWidth="1" scale="100" useFirstPageNumber="0" orientation="portrait" pageOrder="downThenOver"/>
  <headerFooter>
    <oddFooter>&amp;L&amp;"Helvetica,Regular"&amp;12&amp;K000000	&amp;P</oddFooter>
  </headerFooter>
</worksheet>
</file>

<file path=xl/worksheets/sheet5.xml><?xml version="1.0" encoding="utf-8"?>
<worksheet xmlns:r="http://schemas.openxmlformats.org/officeDocument/2006/relationships" xmlns="http://schemas.openxmlformats.org/spreadsheetml/2006/main">
  <dimension ref="A1:AM69"/>
  <sheetViews>
    <sheetView workbookViewId="0" showGridLines="0" defaultGridColor="1"/>
  </sheetViews>
  <sheetFormatPr defaultColWidth="9.375" defaultRowHeight="15" customHeight="1" outlineLevelRow="0" outlineLevelCol="0"/>
  <cols>
    <col min="1" max="1" width="9.375" style="166" customWidth="1"/>
    <col min="2" max="2" width="12" style="166" customWidth="1"/>
    <col min="3" max="3" width="9.375" style="166" customWidth="1"/>
    <col min="4" max="4" width="1.75" style="166" customWidth="1"/>
    <col min="5" max="5" width="12.75" style="166" customWidth="1"/>
    <col min="6" max="6" width="11.875" style="166" customWidth="1"/>
    <col min="7" max="7" width="1.5" style="166" customWidth="1"/>
    <col min="8" max="8" width="11.875" style="166" customWidth="1"/>
    <col min="9" max="9" width="1.625" style="166" customWidth="1"/>
    <col min="10" max="10" width="11.875" style="166" customWidth="1"/>
    <col min="11" max="11" width="1.75" style="166" customWidth="1"/>
    <col min="12" max="12" width="11" style="166" customWidth="1"/>
    <col min="13" max="13" width="9.375" style="166" customWidth="1"/>
    <col min="14" max="14" width="9.5" style="166" customWidth="1"/>
    <col min="15" max="15" width="9.5" style="166" customWidth="1"/>
    <col min="16" max="16" width="9.5" style="166" customWidth="1"/>
    <col min="17" max="17" width="9.5" style="166" customWidth="1"/>
    <col min="18" max="18" width="9.5" style="166" customWidth="1"/>
    <col min="19" max="19" width="9.5" style="166" customWidth="1"/>
    <col min="20" max="20" width="9.5" style="166" customWidth="1"/>
    <col min="21" max="21" width="9.5" style="166" customWidth="1"/>
    <col min="22" max="22" width="9.5" style="166" customWidth="1"/>
    <col min="23" max="23" width="9.5" style="166" customWidth="1"/>
    <col min="24" max="24" width="9.5" style="166" customWidth="1"/>
    <col min="25" max="25" width="9.5" style="166" customWidth="1"/>
    <col min="26" max="26" width="9.5" style="166" customWidth="1"/>
    <col min="27" max="27" width="9.5" style="166" customWidth="1"/>
    <col min="28" max="28" width="9.5" style="166" customWidth="1"/>
    <col min="29" max="29" width="9.5" style="166" customWidth="1"/>
    <col min="30" max="30" width="9.5" style="166" customWidth="1"/>
    <col min="31" max="31" width="9.5" style="166" customWidth="1"/>
    <col min="32" max="32" width="9.5" style="166" customWidth="1"/>
    <col min="33" max="33" width="9.5" style="166" customWidth="1"/>
    <col min="34" max="34" width="26.75" style="166" customWidth="1"/>
    <col min="35" max="35" width="9.375" style="166" customWidth="1"/>
    <col min="36" max="36" width="9.375" style="166" customWidth="1"/>
    <col min="37" max="37" width="9.375" style="166" customWidth="1"/>
    <col min="38" max="38" width="9.375" style="166" customWidth="1"/>
    <col min="39" max="39" width="9.375" style="166" customWidth="1"/>
    <col min="40" max="256" width="9.375" style="166" customWidth="1"/>
  </cols>
  <sheetData>
    <row r="1" ht="25" customHeight="1">
      <c r="A1" t="s" s="94">
        <v>132</v>
      </c>
      <c r="B1" s="70"/>
      <c r="C1" s="70"/>
      <c r="D1" s="70"/>
      <c r="E1" s="70"/>
      <c r="F1" s="70"/>
      <c r="G1" s="70"/>
      <c r="H1" s="70"/>
      <c r="I1" s="70"/>
      <c r="J1" s="70"/>
      <c r="K1" s="70"/>
      <c r="L1" s="70"/>
      <c r="M1" s="70"/>
      <c r="N1" s="95"/>
      <c r="O1" s="95"/>
      <c r="P1" s="95"/>
      <c r="Q1" s="95"/>
      <c r="R1" s="95"/>
      <c r="S1" s="95"/>
      <c r="T1" s="95"/>
      <c r="U1" s="95"/>
      <c r="V1" s="95"/>
      <c r="W1" s="95"/>
      <c r="X1" s="95"/>
      <c r="Y1" s="95"/>
      <c r="Z1" s="95"/>
      <c r="AA1" s="95"/>
      <c r="AB1" s="95"/>
      <c r="AC1" s="95"/>
      <c r="AD1" s="95"/>
      <c r="AE1" s="95"/>
      <c r="AF1" s="95"/>
      <c r="AG1" s="95"/>
      <c r="AH1" s="70"/>
      <c r="AI1" s="70"/>
      <c r="AJ1" s="70"/>
      <c r="AK1" s="70"/>
      <c r="AL1" s="70"/>
      <c r="AM1" s="70"/>
    </row>
    <row r="2" ht="19" customHeight="1">
      <c r="A2" s="96"/>
      <c r="B2" s="96"/>
      <c r="C2" s="96"/>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c r="AI2" s="70"/>
      <c r="AJ2" s="70"/>
      <c r="AK2" s="70"/>
      <c r="AL2" s="70"/>
      <c r="AM2" s="70"/>
    </row>
    <row r="3" ht="16" customHeight="1">
      <c r="A3" t="s" s="97">
        <v>109</v>
      </c>
      <c r="B3" t="s" s="97">
        <v>110</v>
      </c>
      <c r="C3" s="98">
        <f>'Pricing Calculator'!D9</f>
        <v>750</v>
      </c>
      <c r="D3" s="99"/>
      <c r="E3" s="70"/>
      <c r="F3" s="70"/>
      <c r="G3" s="70"/>
      <c r="H3" s="70"/>
      <c r="I3" s="70"/>
      <c r="J3" s="70"/>
      <c r="K3" s="70"/>
      <c r="L3" s="70"/>
      <c r="M3" s="70"/>
      <c r="N3" s="70"/>
      <c r="O3" s="70"/>
      <c r="P3" s="70"/>
      <c r="Q3" s="70"/>
      <c r="R3" s="70"/>
      <c r="S3" s="70"/>
      <c r="T3" s="70"/>
      <c r="U3" s="70"/>
      <c r="V3" s="70"/>
      <c r="W3" s="70"/>
      <c r="X3" s="70"/>
      <c r="Y3" s="70"/>
      <c r="Z3" s="70"/>
      <c r="AA3" s="70"/>
      <c r="AB3" s="70"/>
      <c r="AC3" s="70"/>
      <c r="AD3" s="70"/>
      <c r="AE3" s="70"/>
      <c r="AF3" s="70"/>
      <c r="AG3" s="70"/>
      <c r="AH3" s="70"/>
      <c r="AI3" s="70"/>
      <c r="AJ3" s="70"/>
      <c r="AK3" s="70"/>
      <c r="AL3" s="70"/>
      <c r="AM3" s="70"/>
    </row>
    <row r="4" ht="17" customHeight="1">
      <c r="A4" s="100"/>
      <c r="B4" t="s" s="97">
        <v>6</v>
      </c>
      <c r="C4" s="101">
        <f>'Pricing Calculator'!D10</f>
        <v>0.12</v>
      </c>
      <c r="D4" s="99"/>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70"/>
      <c r="AH4" s="70"/>
      <c r="AI4" s="70"/>
      <c r="AJ4" s="70"/>
      <c r="AK4" s="70"/>
      <c r="AL4" s="70"/>
      <c r="AM4" s="70"/>
    </row>
    <row r="5" ht="17" customHeight="1">
      <c r="A5" s="100"/>
      <c r="B5" t="s" s="97">
        <v>111</v>
      </c>
      <c r="C5" s="102">
        <f>'Pricing Calculator'!D11</f>
        <v>12</v>
      </c>
      <c r="D5" s="99"/>
      <c r="E5" s="70"/>
      <c r="F5" s="70"/>
      <c r="G5" s="70"/>
      <c r="H5" s="70"/>
      <c r="I5" s="70"/>
      <c r="J5" s="70"/>
      <c r="K5" s="70"/>
      <c r="L5" s="70"/>
      <c r="M5" s="70"/>
      <c r="N5" s="70"/>
      <c r="O5" s="70"/>
      <c r="P5" s="70"/>
      <c r="Q5" s="70"/>
      <c r="R5" s="70"/>
      <c r="S5" s="70"/>
      <c r="T5" s="70"/>
      <c r="U5" s="70"/>
      <c r="V5" s="70"/>
      <c r="W5" s="70"/>
      <c r="X5" s="70"/>
      <c r="Y5" s="70"/>
      <c r="Z5" s="70"/>
      <c r="AA5" s="70"/>
      <c r="AB5" s="70"/>
      <c r="AC5" s="70"/>
      <c r="AD5" s="70"/>
      <c r="AE5" s="70"/>
      <c r="AF5" s="70"/>
      <c r="AG5" s="70"/>
      <c r="AH5" s="70"/>
      <c r="AI5" s="70"/>
      <c r="AJ5" s="70"/>
      <c r="AK5" s="70"/>
      <c r="AL5" s="70"/>
      <c r="AM5" s="70"/>
    </row>
    <row r="6" ht="17" customHeight="1">
      <c r="A6" s="100"/>
      <c r="B6" t="s" s="97">
        <v>112</v>
      </c>
      <c r="C6" s="103">
        <f>'Pricing Calculator'!D27</f>
        <v>9.472727272727273</v>
      </c>
      <c r="D6" s="99"/>
      <c r="E6" s="70"/>
      <c r="F6" s="70"/>
      <c r="G6" s="70"/>
      <c r="H6" s="70"/>
      <c r="I6" s="70"/>
      <c r="J6" s="70"/>
      <c r="K6" s="70"/>
      <c r="L6" s="70"/>
      <c r="M6" s="70"/>
      <c r="N6" s="70"/>
      <c r="O6" s="70"/>
      <c r="P6" s="70"/>
      <c r="Q6" s="70"/>
      <c r="R6" s="70"/>
      <c r="S6" s="70"/>
      <c r="T6" s="70"/>
      <c r="U6" s="70"/>
      <c r="V6" s="70"/>
      <c r="W6" s="70"/>
      <c r="X6" s="70"/>
      <c r="Y6" s="70"/>
      <c r="Z6" s="70"/>
      <c r="AA6" s="70"/>
      <c r="AB6" s="70"/>
      <c r="AC6" s="70"/>
      <c r="AD6" s="70"/>
      <c r="AE6" s="70"/>
      <c r="AF6" s="70"/>
      <c r="AG6" s="70"/>
      <c r="AH6" s="70"/>
      <c r="AI6" s="70"/>
      <c r="AJ6" s="70"/>
      <c r="AK6" s="70"/>
      <c r="AL6" s="70"/>
      <c r="AM6" s="70"/>
    </row>
    <row r="7" ht="16" customHeight="1">
      <c r="A7" s="104"/>
      <c r="B7" s="104"/>
      <c r="C7" s="105"/>
      <c r="D7" s="70"/>
      <c r="E7" s="70"/>
      <c r="F7" s="70"/>
      <c r="G7" s="70"/>
      <c r="H7" s="70"/>
      <c r="I7" s="70"/>
      <c r="J7" s="70"/>
      <c r="K7" s="70"/>
      <c r="L7" s="70"/>
      <c r="M7" s="70"/>
      <c r="N7" s="70"/>
      <c r="O7" s="70"/>
      <c r="P7" s="70"/>
      <c r="Q7" s="70"/>
      <c r="R7" s="70"/>
      <c r="S7" s="70"/>
      <c r="T7" s="70"/>
      <c r="U7" s="70"/>
      <c r="V7" s="70"/>
      <c r="W7" s="70"/>
      <c r="X7" s="70"/>
      <c r="Y7" s="70"/>
      <c r="Z7" s="70"/>
      <c r="AA7" s="70"/>
      <c r="AB7" s="70"/>
      <c r="AC7" s="70"/>
      <c r="AD7" s="70"/>
      <c r="AE7" s="70"/>
      <c r="AF7" s="70"/>
      <c r="AG7" s="70"/>
      <c r="AH7" s="70"/>
      <c r="AI7" s="70"/>
      <c r="AJ7" s="70"/>
      <c r="AK7" s="70"/>
      <c r="AL7" s="70"/>
      <c r="AM7" s="70"/>
    </row>
    <row r="8" ht="19" customHeight="1">
      <c r="A8" t="s" s="74">
        <v>113</v>
      </c>
      <c r="B8" t="s" s="76">
        <v>114</v>
      </c>
      <c r="C8" t="s" s="76">
        <v>115</v>
      </c>
      <c r="D8" s="70"/>
      <c r="E8" s="70"/>
      <c r="F8" s="70"/>
      <c r="G8" s="70"/>
      <c r="H8" s="70"/>
      <c r="I8" s="70"/>
      <c r="J8" s="70"/>
      <c r="K8" s="70"/>
      <c r="L8" s="70"/>
      <c r="M8" s="70"/>
      <c r="N8" s="70"/>
      <c r="O8" s="70"/>
      <c r="P8" s="70"/>
      <c r="Q8" s="70"/>
      <c r="R8" s="70"/>
      <c r="S8" s="70"/>
      <c r="T8" s="70"/>
      <c r="U8" s="70"/>
      <c r="V8" s="70"/>
      <c r="W8" s="70"/>
      <c r="X8" s="70"/>
      <c r="Y8" s="70"/>
      <c r="Z8" s="70"/>
      <c r="AA8" s="70"/>
      <c r="AB8" s="70"/>
      <c r="AC8" s="70"/>
      <c r="AD8" s="70"/>
      <c r="AE8" s="70"/>
      <c r="AF8" s="70"/>
      <c r="AG8" s="70"/>
      <c r="AH8" s="70"/>
      <c r="AI8" s="70"/>
      <c r="AJ8" s="70"/>
      <c r="AK8" s="70"/>
      <c r="AL8" s="70"/>
      <c r="AM8" s="70"/>
    </row>
    <row r="9" ht="19" customHeight="1">
      <c r="A9" s="70"/>
      <c r="B9" s="76">
        <v>1</v>
      </c>
      <c r="C9" s="76">
        <v>3.78541178</v>
      </c>
      <c r="D9" s="70"/>
      <c r="E9" s="70"/>
      <c r="F9" s="70"/>
      <c r="G9" s="70"/>
      <c r="H9" s="70"/>
      <c r="I9" s="70"/>
      <c r="J9" s="70"/>
      <c r="K9" s="70"/>
      <c r="L9" s="70"/>
      <c r="M9" s="70"/>
      <c r="N9" s="70"/>
      <c r="O9" s="70"/>
      <c r="P9" s="70"/>
      <c r="Q9" s="70"/>
      <c r="R9" s="70"/>
      <c r="S9" s="70"/>
      <c r="T9" s="70"/>
      <c r="U9" s="70"/>
      <c r="V9" s="70"/>
      <c r="W9" s="70"/>
      <c r="X9" s="70"/>
      <c r="Y9" s="70"/>
      <c r="Z9" s="70"/>
      <c r="AA9" s="70"/>
      <c r="AB9" s="70"/>
      <c r="AC9" s="70"/>
      <c r="AD9" s="70"/>
      <c r="AE9" s="70"/>
      <c r="AF9" s="70"/>
      <c r="AG9" s="70"/>
      <c r="AH9" s="70"/>
      <c r="AI9" s="70"/>
      <c r="AJ9" s="70"/>
      <c r="AK9" s="70"/>
      <c r="AL9" s="70"/>
      <c r="AM9" s="70"/>
    </row>
    <row r="10" ht="19" customHeight="1">
      <c r="A10" s="70"/>
      <c r="B10" s="70"/>
      <c r="C10" s="70"/>
      <c r="D10" s="70"/>
      <c r="E10" s="70"/>
      <c r="F10" s="70"/>
      <c r="G10" s="70"/>
      <c r="H10" s="70"/>
      <c r="I10" s="70"/>
      <c r="J10" s="70"/>
      <c r="K10" s="70"/>
      <c r="L10" s="70"/>
      <c r="M10" s="70"/>
      <c r="N10" s="70"/>
      <c r="O10" s="70"/>
      <c r="P10" s="70"/>
      <c r="Q10" s="70"/>
      <c r="R10" s="70"/>
      <c r="S10" s="70"/>
      <c r="T10" s="70"/>
      <c r="U10" s="70"/>
      <c r="V10" s="70"/>
      <c r="W10" s="70"/>
      <c r="X10" s="70"/>
      <c r="Y10" s="70"/>
      <c r="Z10" s="70"/>
      <c r="AA10" s="70"/>
      <c r="AB10" s="70"/>
      <c r="AC10" s="70"/>
      <c r="AD10" s="70"/>
      <c r="AE10" s="70"/>
      <c r="AF10" s="70"/>
      <c r="AG10" s="70"/>
      <c r="AH10" s="70"/>
      <c r="AI10" s="70"/>
      <c r="AJ10" s="70"/>
      <c r="AK10" s="70"/>
      <c r="AL10" s="70"/>
      <c r="AM10" s="70"/>
    </row>
    <row r="11" ht="19" customHeight="1">
      <c r="A11" s="70"/>
      <c r="B11" s="70"/>
      <c r="C11" s="70"/>
      <c r="D11" s="70"/>
      <c r="E11" s="96"/>
      <c r="F11" s="96"/>
      <c r="G11" s="70"/>
      <c r="H11" s="96"/>
      <c r="I11" s="96"/>
      <c r="J11" s="96"/>
      <c r="K11" s="96"/>
      <c r="L11" s="96"/>
      <c r="M11" s="96"/>
      <c r="N11" s="96"/>
      <c r="O11" s="96"/>
      <c r="P11" s="96"/>
      <c r="Q11" s="96"/>
      <c r="R11" s="96"/>
      <c r="S11" s="96"/>
      <c r="T11" s="96"/>
      <c r="U11" s="96"/>
      <c r="V11" s="96"/>
      <c r="W11" s="96"/>
      <c r="X11" s="96"/>
      <c r="Y11" s="96"/>
      <c r="Z11" s="96"/>
      <c r="AA11" s="96"/>
      <c r="AB11" s="96"/>
      <c r="AC11" s="96"/>
      <c r="AD11" s="96"/>
      <c r="AE11" s="96"/>
      <c r="AF11" s="96"/>
      <c r="AG11" s="96"/>
      <c r="AH11" s="70"/>
      <c r="AI11" s="70"/>
      <c r="AJ11" s="70"/>
      <c r="AK11" s="70"/>
      <c r="AL11" s="70"/>
      <c r="AM11" s="70"/>
    </row>
    <row r="12" ht="19" customHeight="1">
      <c r="A12" s="70"/>
      <c r="B12" s="70"/>
      <c r="C12" s="70"/>
      <c r="D12" s="167"/>
      <c r="E12" t="s" s="168">
        <v>133</v>
      </c>
      <c r="F12" s="169"/>
      <c r="G12" s="170"/>
      <c r="H12" t="s" s="171">
        <v>134</v>
      </c>
      <c r="I12" s="172"/>
      <c r="J12" s="172"/>
      <c r="K12" s="172"/>
      <c r="L12" s="172"/>
      <c r="M12" s="172"/>
      <c r="N12" s="173"/>
      <c r="O12" s="173"/>
      <c r="P12" s="173"/>
      <c r="Q12" s="173"/>
      <c r="R12" s="173"/>
      <c r="S12" s="173"/>
      <c r="T12" s="173"/>
      <c r="U12" s="173"/>
      <c r="V12" s="173"/>
      <c r="W12" s="173"/>
      <c r="X12" s="173"/>
      <c r="Y12" s="173"/>
      <c r="Z12" s="173"/>
      <c r="AA12" s="173"/>
      <c r="AB12" s="173"/>
      <c r="AC12" s="173"/>
      <c r="AD12" s="173"/>
      <c r="AE12" s="173"/>
      <c r="AF12" s="173"/>
      <c r="AG12" s="173"/>
      <c r="AH12" s="99"/>
      <c r="AI12" s="70"/>
      <c r="AJ12" s="70"/>
      <c r="AK12" s="70"/>
      <c r="AL12" s="70"/>
      <c r="AM12" s="70"/>
    </row>
    <row r="13" ht="19" customHeight="1">
      <c r="A13" s="70"/>
      <c r="B13" s="96"/>
      <c r="C13" s="96"/>
      <c r="D13" s="167"/>
      <c r="E13" s="169"/>
      <c r="F13" s="169"/>
      <c r="G13" s="170"/>
      <c r="H13" s="172"/>
      <c r="I13" s="172"/>
      <c r="J13" s="172"/>
      <c r="K13" s="172"/>
      <c r="L13" s="172"/>
      <c r="M13" s="172"/>
      <c r="N13" s="173"/>
      <c r="O13" s="173"/>
      <c r="P13" t="s" s="174">
        <v>116</v>
      </c>
      <c r="Q13" s="173"/>
      <c r="R13" s="173"/>
      <c r="S13" s="173"/>
      <c r="T13" s="173"/>
      <c r="U13" s="173"/>
      <c r="V13" s="173"/>
      <c r="W13" s="173"/>
      <c r="X13" s="173"/>
      <c r="Y13" s="173"/>
      <c r="Z13" s="173"/>
      <c r="AA13" s="173"/>
      <c r="AB13" s="173"/>
      <c r="AC13" s="173"/>
      <c r="AD13" s="173"/>
      <c r="AE13" s="173"/>
      <c r="AF13" s="173"/>
      <c r="AG13" s="173"/>
      <c r="AH13" s="175"/>
      <c r="AI13" s="70"/>
      <c r="AJ13" s="70"/>
      <c r="AK13" s="70"/>
      <c r="AL13" s="70"/>
      <c r="AM13" s="70"/>
    </row>
    <row r="14" ht="19" customHeight="1">
      <c r="A14" s="107">
        <v>1</v>
      </c>
      <c r="B14" t="s" s="176">
        <v>117</v>
      </c>
      <c r="C14" t="s" s="109">
        <v>118</v>
      </c>
      <c r="D14" s="170"/>
      <c r="E14" t="s" s="112">
        <v>119</v>
      </c>
      <c r="F14" t="s" s="112">
        <v>135</v>
      </c>
      <c r="G14" s="170"/>
      <c r="H14" t="s" s="111">
        <v>119</v>
      </c>
      <c r="I14" s="66"/>
      <c r="J14" t="s" s="111">
        <v>135</v>
      </c>
      <c r="K14" s="66"/>
      <c r="L14" t="s" s="112">
        <v>121</v>
      </c>
      <c r="M14" t="s" s="112">
        <v>122</v>
      </c>
      <c r="N14" t="s" s="177">
        <v>123</v>
      </c>
      <c r="O14" t="s" s="113">
        <v>124</v>
      </c>
      <c r="P14" s="114">
        <v>0</v>
      </c>
      <c r="Q14" s="115">
        <v>0.04</v>
      </c>
      <c r="R14" s="115">
        <v>0.05</v>
      </c>
      <c r="S14" s="115">
        <v>0.06</v>
      </c>
      <c r="T14" s="115">
        <v>0.07000000000000001</v>
      </c>
      <c r="U14" s="115">
        <v>0.14</v>
      </c>
      <c r="V14" s="115">
        <v>0.15</v>
      </c>
      <c r="W14" s="115">
        <v>0.155</v>
      </c>
      <c r="X14" s="115">
        <v>0.16</v>
      </c>
      <c r="Y14" s="115">
        <v>0.17</v>
      </c>
      <c r="Z14" s="116">
        <v>0.17259</v>
      </c>
      <c r="AA14" s="116">
        <v>0.2</v>
      </c>
      <c r="AB14" s="115">
        <v>0.21</v>
      </c>
      <c r="AC14" s="115">
        <v>0.22</v>
      </c>
      <c r="AD14" s="115">
        <v>0.24</v>
      </c>
      <c r="AE14" s="115">
        <v>0.25</v>
      </c>
      <c r="AF14" s="115">
        <v>0.5</v>
      </c>
      <c r="AG14" s="116">
        <v>0.5578</v>
      </c>
      <c r="AH14" t="s" s="112">
        <v>125</v>
      </c>
      <c r="AI14" s="117"/>
      <c r="AJ14" s="118"/>
      <c r="AK14" s="118"/>
      <c r="AL14" s="118"/>
      <c r="AM14" s="118"/>
    </row>
    <row r="15" ht="19" customHeight="1">
      <c r="A15" s="119">
        <v>2</v>
      </c>
      <c r="B15" t="s" s="120">
        <v>54</v>
      </c>
      <c r="C15" s="178"/>
      <c r="D15" s="70"/>
      <c r="E15" s="179">
        <f>H15</f>
        <v>0.4953225986949298</v>
      </c>
      <c r="F15" s="104"/>
      <c r="G15" s="134"/>
      <c r="H15" s="180">
        <f>IF(J15="CONTROL","CONTROL",$C$3*(1/($C$9*1000))*J15)</f>
        <v>0.4953225986949298</v>
      </c>
      <c r="I15" s="136"/>
      <c r="J15" s="124">
        <f>HLOOKUP($C$4,$P$14:$AG$67,A15)</f>
        <v>2.5</v>
      </c>
      <c r="K15" s="137"/>
      <c r="L15" s="104"/>
      <c r="M15" s="104"/>
      <c r="N15" s="104"/>
      <c r="O15" s="126"/>
      <c r="P15" s="181">
        <v>2.5</v>
      </c>
      <c r="Q15" s="182">
        <f>P15</f>
        <v>2.5</v>
      </c>
      <c r="R15" s="183">
        <f>Q15</f>
        <v>2.5</v>
      </c>
      <c r="S15" s="183">
        <f>R15</f>
        <v>2.5</v>
      </c>
      <c r="T15" s="183">
        <f>S15</f>
        <v>2.5</v>
      </c>
      <c r="U15" s="184">
        <f>T15</f>
        <v>2.5</v>
      </c>
      <c r="V15" s="183">
        <f>U15</f>
        <v>2.5</v>
      </c>
      <c r="W15" s="183">
        <f>V15</f>
        <v>2.5</v>
      </c>
      <c r="X15" s="183">
        <f>W15</f>
        <v>2.5</v>
      </c>
      <c r="Y15" s="183">
        <f>X15</f>
        <v>2.5</v>
      </c>
      <c r="Z15" s="183">
        <f>Y15</f>
        <v>2.5</v>
      </c>
      <c r="AA15" s="183">
        <f>Z15</f>
        <v>2.5</v>
      </c>
      <c r="AB15" s="183">
        <f>AA15</f>
        <v>2.5</v>
      </c>
      <c r="AC15" s="183">
        <f>AB15</f>
        <v>2.5</v>
      </c>
      <c r="AD15" s="183">
        <f>AC15</f>
        <v>2.5</v>
      </c>
      <c r="AE15" s="183">
        <f>AD15</f>
        <v>2.5</v>
      </c>
      <c r="AF15" s="183">
        <f>AE15</f>
        <v>2.5</v>
      </c>
      <c r="AG15" s="183">
        <f>AF15</f>
        <v>2.5</v>
      </c>
      <c r="AH15" s="132"/>
      <c r="AI15" s="133"/>
      <c r="AJ15" s="133"/>
      <c r="AK15" s="133"/>
      <c r="AL15" s="133"/>
      <c r="AM15" s="133"/>
    </row>
    <row r="16" ht="19" customHeight="1">
      <c r="A16" s="119">
        <v>3</v>
      </c>
      <c r="B16" t="s" s="91">
        <v>55</v>
      </c>
      <c r="C16" s="141"/>
      <c r="D16" s="70"/>
      <c r="E16" s="185">
        <f>H16</f>
        <v>0.3368193671125522</v>
      </c>
      <c r="F16" s="70"/>
      <c r="G16" s="134"/>
      <c r="H16" s="180">
        <f>IF(J16="CONTROL","CONTROL",$C$3*(1/($C$9*1000))*J16)</f>
        <v>0.3368193671125522</v>
      </c>
      <c r="I16" s="136"/>
      <c r="J16" s="124">
        <f>HLOOKUP($C$4,$P$14:$AG$67,A16)</f>
        <v>1.7</v>
      </c>
      <c r="K16" s="137"/>
      <c r="L16" s="70"/>
      <c r="M16" s="70"/>
      <c r="N16" s="70"/>
      <c r="O16" s="138"/>
      <c r="P16" s="181">
        <v>1.7</v>
      </c>
      <c r="Q16" s="186">
        <f>P16</f>
        <v>1.7</v>
      </c>
      <c r="R16" s="187">
        <f>Q16</f>
        <v>1.7</v>
      </c>
      <c r="S16" s="188">
        <f>R16</f>
        <v>1.7</v>
      </c>
      <c r="T16" s="189">
        <f>S16</f>
        <v>1.7</v>
      </c>
      <c r="U16" t="s" s="190">
        <v>126</v>
      </c>
      <c r="V16" t="s" s="191">
        <f>U16</f>
        <v>126</v>
      </c>
      <c r="W16" t="s" s="192">
        <f>V16</f>
        <v>126</v>
      </c>
      <c r="X16" t="s" s="192">
        <f>W16</f>
        <v>126</v>
      </c>
      <c r="Y16" t="s" s="192">
        <f>X16</f>
        <v>126</v>
      </c>
      <c r="Z16" t="s" s="192">
        <f>Y16</f>
        <v>136</v>
      </c>
      <c r="AA16" t="s" s="192">
        <f>Z16</f>
        <v>136</v>
      </c>
      <c r="AB16" t="s" s="192">
        <f>AA16</f>
        <v>136</v>
      </c>
      <c r="AC16" t="s" s="192">
        <f>AB16</f>
        <v>136</v>
      </c>
      <c r="AD16" t="s" s="192">
        <f>AC16</f>
        <v>136</v>
      </c>
      <c r="AE16" t="s" s="192">
        <f>AD16</f>
        <v>136</v>
      </c>
      <c r="AF16" t="s" s="192">
        <f>AE16</f>
        <v>136</v>
      </c>
      <c r="AG16" t="s" s="192">
        <f>AF16</f>
        <v>136</v>
      </c>
      <c r="AH16" s="70"/>
      <c r="AI16" s="70"/>
      <c r="AJ16" s="70"/>
      <c r="AK16" s="70"/>
      <c r="AL16" s="70"/>
      <c r="AM16" s="70"/>
    </row>
    <row r="17" ht="19" customHeight="1">
      <c r="A17" s="119">
        <v>4</v>
      </c>
      <c r="B17" t="s" s="91">
        <v>56</v>
      </c>
      <c r="C17" s="141"/>
      <c r="D17" s="70"/>
      <c r="E17" s="185">
        <f>H17</f>
        <v>0.1527634462751456</v>
      </c>
      <c r="F17" s="70"/>
      <c r="G17" s="134"/>
      <c r="H17" s="180">
        <f>M17/$C$5+$C$3*(1/($C$9*1000))*J17</f>
        <v>0.1527634462751456</v>
      </c>
      <c r="I17" s="136"/>
      <c r="J17" s="124">
        <f>HLOOKUP($C$4,$P$14:$AG$67,A17)</f>
        <v>0.75</v>
      </c>
      <c r="K17" s="137"/>
      <c r="L17" s="70"/>
      <c r="M17" s="162">
        <v>0.05</v>
      </c>
      <c r="N17" s="70"/>
      <c r="O17" s="138"/>
      <c r="P17" s="181">
        <v>0.25</v>
      </c>
      <c r="Q17" s="193">
        <f>P17</f>
        <v>0.25</v>
      </c>
      <c r="R17" s="194">
        <v>0.75</v>
      </c>
      <c r="S17" s="186">
        <f>R17</f>
        <v>0.75</v>
      </c>
      <c r="T17" s="188">
        <f>S17</f>
        <v>0.75</v>
      </c>
      <c r="U17" s="183">
        <f>T17</f>
        <v>0.75</v>
      </c>
      <c r="V17" s="188">
        <f>U17</f>
        <v>0.75</v>
      </c>
      <c r="W17" s="188">
        <f>V17</f>
        <v>0.75</v>
      </c>
      <c r="X17" s="188">
        <f>W17</f>
        <v>0.75</v>
      </c>
      <c r="Y17" s="188">
        <f>X17</f>
        <v>0.75</v>
      </c>
      <c r="Z17" s="188">
        <f>Y17</f>
        <v>0.75</v>
      </c>
      <c r="AA17" s="188">
        <f>Z17</f>
        <v>0.75</v>
      </c>
      <c r="AB17" s="188">
        <f>AA17</f>
        <v>0.75</v>
      </c>
      <c r="AC17" s="188">
        <f>AB17</f>
        <v>0.75</v>
      </c>
      <c r="AD17" s="188">
        <f>AC17</f>
        <v>0.75</v>
      </c>
      <c r="AE17" s="188">
        <f>AD17</f>
        <v>0.75</v>
      </c>
      <c r="AF17" s="188">
        <f>AE17</f>
        <v>0.75</v>
      </c>
      <c r="AG17" s="188">
        <f>AF17</f>
        <v>0.75</v>
      </c>
      <c r="AH17" s="133"/>
      <c r="AI17" s="133"/>
      <c r="AJ17" s="133"/>
      <c r="AK17" s="133"/>
      <c r="AL17" s="133"/>
      <c r="AM17" s="133"/>
    </row>
    <row r="18" ht="19" customHeight="1">
      <c r="A18" s="119">
        <v>5</v>
      </c>
      <c r="B18" t="s" s="91">
        <v>57</v>
      </c>
      <c r="C18" s="141"/>
      <c r="D18" s="70"/>
      <c r="E18" s="195">
        <f>H18</f>
        <v>0.1664283931614964</v>
      </c>
      <c r="F18" s="96"/>
      <c r="G18" s="134"/>
      <c r="H18" s="180">
        <f>$C$3*(1/($C$9*1000))*J18</f>
        <v>0.1664283931614964</v>
      </c>
      <c r="I18" s="136"/>
      <c r="J18" s="124">
        <f>HLOOKUP($C$4,$P$14:$AG$67,A18)</f>
        <v>0.84</v>
      </c>
      <c r="K18" s="137"/>
      <c r="L18" s="70"/>
      <c r="M18" s="70"/>
      <c r="N18" s="70"/>
      <c r="O18" s="138"/>
      <c r="P18" s="181">
        <v>0.84</v>
      </c>
      <c r="Q18" s="186">
        <f>P18</f>
        <v>0.84</v>
      </c>
      <c r="R18" s="183">
        <f>Q18</f>
        <v>0.84</v>
      </c>
      <c r="S18" s="188">
        <f>R18</f>
        <v>0.84</v>
      </c>
      <c r="T18" s="188">
        <f>S18</f>
        <v>0.84</v>
      </c>
      <c r="U18" s="188">
        <f>T18</f>
        <v>0.84</v>
      </c>
      <c r="V18" s="188">
        <f>U18</f>
        <v>0.84</v>
      </c>
      <c r="W18" s="188">
        <f>V18</f>
        <v>0.84</v>
      </c>
      <c r="X18" s="188">
        <f>W18</f>
        <v>0.84</v>
      </c>
      <c r="Y18" s="188">
        <f>X18</f>
        <v>0.84</v>
      </c>
      <c r="Z18" s="188">
        <f>Y18</f>
        <v>0.84</v>
      </c>
      <c r="AA18" s="188">
        <f>Z18</f>
        <v>0.84</v>
      </c>
      <c r="AB18" s="188">
        <f>AA18</f>
        <v>0.84</v>
      </c>
      <c r="AC18" s="188">
        <f>AB18</f>
        <v>0.84</v>
      </c>
      <c r="AD18" s="188">
        <f>AC18</f>
        <v>0.84</v>
      </c>
      <c r="AE18" s="188">
        <f>AD18</f>
        <v>0.84</v>
      </c>
      <c r="AF18" s="188">
        <f>AE18</f>
        <v>0.84</v>
      </c>
      <c r="AG18" s="188">
        <f>AF18</f>
        <v>0.84</v>
      </c>
      <c r="AH18" s="133"/>
      <c r="AI18" s="133"/>
      <c r="AJ18" s="133"/>
      <c r="AK18" s="133"/>
      <c r="AL18" s="133"/>
      <c r="AM18" s="133"/>
    </row>
    <row r="19" ht="19" customHeight="1">
      <c r="A19" s="119">
        <v>6</v>
      </c>
      <c r="B19" t="s" s="91">
        <v>58</v>
      </c>
      <c r="C19" s="141"/>
      <c r="D19" s="134"/>
      <c r="E19" s="180">
        <f>$C$3*(1/($C$9*1000))*F19</f>
        <v>0.05943871184339157</v>
      </c>
      <c r="F19" s="196">
        <v>0.3</v>
      </c>
      <c r="G19" s="197"/>
      <c r="H19" s="180">
        <f>$C$3*(1/($C$9*1000))*J19</f>
        <v>0.03962580789559439</v>
      </c>
      <c r="I19" s="198"/>
      <c r="J19" s="124">
        <f>HLOOKUP($C$4,$P$14:$AG$67,A19)</f>
        <v>0.2</v>
      </c>
      <c r="K19" s="137"/>
      <c r="L19" s="70"/>
      <c r="M19" s="70"/>
      <c r="N19" s="70"/>
      <c r="O19" s="138"/>
      <c r="P19" s="181">
        <v>0.2</v>
      </c>
      <c r="Q19" s="186">
        <f>P19</f>
        <v>0.2</v>
      </c>
      <c r="R19" s="188">
        <f>Q19</f>
        <v>0.2</v>
      </c>
      <c r="S19" s="188">
        <f>R19</f>
        <v>0.2</v>
      </c>
      <c r="T19" s="188">
        <f>S19</f>
        <v>0.2</v>
      </c>
      <c r="U19" s="188">
        <f>T19</f>
        <v>0.2</v>
      </c>
      <c r="V19" s="188">
        <f>U19</f>
        <v>0.2</v>
      </c>
      <c r="W19" s="188">
        <f>V19</f>
        <v>0.2</v>
      </c>
      <c r="X19" s="188">
        <f>W19</f>
        <v>0.2</v>
      </c>
      <c r="Y19" s="188">
        <f>X19</f>
        <v>0.2</v>
      </c>
      <c r="Z19" s="188">
        <f>Y19</f>
        <v>0.2</v>
      </c>
      <c r="AA19" s="188">
        <f>Z19</f>
        <v>0.2</v>
      </c>
      <c r="AB19" s="188">
        <f>AA19</f>
        <v>0.2</v>
      </c>
      <c r="AC19" s="188">
        <f>AB19</f>
        <v>0.2</v>
      </c>
      <c r="AD19" s="188">
        <f>AC19</f>
        <v>0.2</v>
      </c>
      <c r="AE19" s="188">
        <f>AD19</f>
        <v>0.2</v>
      </c>
      <c r="AF19" s="188">
        <f>AE19</f>
        <v>0.2</v>
      </c>
      <c r="AG19" s="188">
        <f>AF19</f>
        <v>0.2</v>
      </c>
      <c r="AH19" s="133"/>
      <c r="AI19" s="133"/>
      <c r="AJ19" s="133"/>
      <c r="AK19" s="133"/>
      <c r="AL19" s="133"/>
      <c r="AM19" s="133"/>
    </row>
    <row r="20" ht="19" customHeight="1">
      <c r="A20" s="119">
        <v>7</v>
      </c>
      <c r="B20" t="s" s="91">
        <v>59</v>
      </c>
      <c r="C20" s="141"/>
      <c r="D20" s="70"/>
      <c r="E20" s="199">
        <f>H20</f>
        <v>0.05547613105383215</v>
      </c>
      <c r="F20" s="200"/>
      <c r="G20" s="134"/>
      <c r="H20" s="180">
        <f>$C$3*(1/($C$9*1000))*J20</f>
        <v>0.05547613105383215</v>
      </c>
      <c r="I20" s="136"/>
      <c r="J20" s="124">
        <f>HLOOKUP($C$4,$P$14:$AG$67,A20)</f>
        <v>0.28</v>
      </c>
      <c r="K20" s="137"/>
      <c r="L20" s="70"/>
      <c r="M20" s="70"/>
      <c r="N20" s="70"/>
      <c r="O20" s="138"/>
      <c r="P20" s="181">
        <v>0.28</v>
      </c>
      <c r="Q20" s="186">
        <f>P20</f>
        <v>0.28</v>
      </c>
      <c r="R20" s="188">
        <f>Q20</f>
        <v>0.28</v>
      </c>
      <c r="S20" s="188">
        <f>R20</f>
        <v>0.28</v>
      </c>
      <c r="T20" s="188">
        <f>S20</f>
        <v>0.28</v>
      </c>
      <c r="U20" s="188">
        <f>T20</f>
        <v>0.28</v>
      </c>
      <c r="V20" s="188">
        <f>U20</f>
        <v>0.28</v>
      </c>
      <c r="W20" s="188">
        <f>V20</f>
        <v>0.28</v>
      </c>
      <c r="X20" s="188">
        <f>W20</f>
        <v>0.28</v>
      </c>
      <c r="Y20" s="188">
        <f>X20</f>
        <v>0.28</v>
      </c>
      <c r="Z20" s="188">
        <f>Y20</f>
        <v>0.28</v>
      </c>
      <c r="AA20" s="188">
        <f>Z20</f>
        <v>0.28</v>
      </c>
      <c r="AB20" s="187">
        <f>AA20</f>
        <v>0.28</v>
      </c>
      <c r="AC20" s="188">
        <f>AB20</f>
        <v>0.28</v>
      </c>
      <c r="AD20" s="188">
        <f>AC20</f>
        <v>0.28</v>
      </c>
      <c r="AE20" s="188">
        <f>AD20</f>
        <v>0.28</v>
      </c>
      <c r="AF20" s="188">
        <f>AE20</f>
        <v>0.28</v>
      </c>
      <c r="AG20" s="188">
        <f>AF20</f>
        <v>0.28</v>
      </c>
      <c r="AH20" s="133"/>
      <c r="AI20" s="133"/>
      <c r="AJ20" s="133"/>
      <c r="AK20" s="133"/>
      <c r="AL20" s="133"/>
      <c r="AM20" s="133"/>
    </row>
    <row r="21" ht="19" customHeight="1">
      <c r="A21" s="119">
        <v>8</v>
      </c>
      <c r="B21" t="s" s="91">
        <v>60</v>
      </c>
      <c r="C21" s="141"/>
      <c r="D21" s="134"/>
      <c r="E21" s="180">
        <f>$C$3*(1/($C$9*1000))*F21</f>
        <v>0.2971935592169579</v>
      </c>
      <c r="F21" s="196">
        <v>1.5</v>
      </c>
      <c r="G21" s="197"/>
      <c r="H21" s="180">
        <f>$C$3*(1/($C$9*1000))*J21</f>
        <v>0.1188774236867831</v>
      </c>
      <c r="I21" s="198"/>
      <c r="J21" s="124">
        <f>HLOOKUP($C$4,$P$14:$AG$67,A21)</f>
        <v>0.6</v>
      </c>
      <c r="K21" s="137"/>
      <c r="L21" s="70"/>
      <c r="M21" s="70"/>
      <c r="N21" s="70"/>
      <c r="O21" s="138"/>
      <c r="P21" s="181">
        <v>0.6</v>
      </c>
      <c r="Q21" s="186">
        <f>P21</f>
        <v>0.6</v>
      </c>
      <c r="R21" s="188">
        <f>Q21</f>
        <v>0.6</v>
      </c>
      <c r="S21" s="188">
        <f>R21</f>
        <v>0.6</v>
      </c>
      <c r="T21" s="188">
        <f>S21</f>
        <v>0.6</v>
      </c>
      <c r="U21" s="187">
        <f>T21</f>
        <v>0.6</v>
      </c>
      <c r="V21" s="188">
        <f>U21</f>
        <v>0.6</v>
      </c>
      <c r="W21" s="188">
        <f>V21</f>
        <v>0.6</v>
      </c>
      <c r="X21" s="188">
        <f>W21</f>
        <v>0.6</v>
      </c>
      <c r="Y21" s="188">
        <f>X21</f>
        <v>0.6</v>
      </c>
      <c r="Z21" s="188">
        <f>Y21</f>
        <v>0.6</v>
      </c>
      <c r="AA21" s="189">
        <f>Z21</f>
        <v>0.6</v>
      </c>
      <c r="AB21" s="194">
        <v>1.5</v>
      </c>
      <c r="AC21" s="186">
        <f>AB21</f>
        <v>1.5</v>
      </c>
      <c r="AD21" s="188">
        <f>AC21</f>
        <v>1.5</v>
      </c>
      <c r="AE21" s="188">
        <f>AD21</f>
        <v>1.5</v>
      </c>
      <c r="AF21" s="188">
        <f>AE21</f>
        <v>1.5</v>
      </c>
      <c r="AG21" s="188">
        <f>AF21</f>
        <v>1.5</v>
      </c>
      <c r="AH21" s="133"/>
      <c r="AI21" s="133"/>
      <c r="AJ21" s="133"/>
      <c r="AK21" s="133"/>
      <c r="AL21" s="133"/>
      <c r="AM21" s="133"/>
    </row>
    <row r="22" ht="19" customHeight="1">
      <c r="A22" s="119">
        <v>9</v>
      </c>
      <c r="B22" t="s" s="91">
        <v>61</v>
      </c>
      <c r="C22" s="141"/>
      <c r="D22" s="134"/>
      <c r="E22" s="180">
        <f>$C$3*(1/($C$9*1000))*F22</f>
        <v>0.08915806776508736</v>
      </c>
      <c r="F22" s="196">
        <v>0.45</v>
      </c>
      <c r="G22" s="197"/>
      <c r="H22" s="180">
        <f>$C$3*(1/($C$9*1000))*J22</f>
        <v>0.05943871184339157</v>
      </c>
      <c r="I22" s="198"/>
      <c r="J22" s="124">
        <f>HLOOKUP($C$4,$P$14:$AG$67,A22)</f>
        <v>0.3</v>
      </c>
      <c r="K22" s="137"/>
      <c r="L22" s="70"/>
      <c r="M22" s="70"/>
      <c r="N22" s="70"/>
      <c r="O22" s="138"/>
      <c r="P22" s="181">
        <v>0.3</v>
      </c>
      <c r="Q22" s="186">
        <f>P22</f>
        <v>0.3</v>
      </c>
      <c r="R22" s="188">
        <f>Q22</f>
        <v>0.3</v>
      </c>
      <c r="S22" s="188">
        <f>R22</f>
        <v>0.3</v>
      </c>
      <c r="T22" s="189">
        <f>S22</f>
        <v>0.3</v>
      </c>
      <c r="U22" s="194">
        <v>0.4</v>
      </c>
      <c r="V22" s="186">
        <f>U22</f>
        <v>0.4</v>
      </c>
      <c r="W22" s="188">
        <f>V22</f>
        <v>0.4</v>
      </c>
      <c r="X22" s="188">
        <f>W22</f>
        <v>0.4</v>
      </c>
      <c r="Y22" s="188">
        <f>X22</f>
        <v>0.4</v>
      </c>
      <c r="Z22" s="188">
        <f>Y22</f>
        <v>0.4</v>
      </c>
      <c r="AA22" s="188">
        <f>Z22</f>
        <v>0.4</v>
      </c>
      <c r="AB22" s="183">
        <f>AA22</f>
        <v>0.4</v>
      </c>
      <c r="AC22" s="188">
        <f>AB22</f>
        <v>0.4</v>
      </c>
      <c r="AD22" s="188">
        <f>AC22</f>
        <v>0.4</v>
      </c>
      <c r="AE22" s="188">
        <f>AD22</f>
        <v>0.4</v>
      </c>
      <c r="AF22" s="188">
        <f>AE22</f>
        <v>0.4</v>
      </c>
      <c r="AG22" s="188">
        <f>AF22</f>
        <v>0.4</v>
      </c>
      <c r="AH22" s="133"/>
      <c r="AI22" s="133"/>
      <c r="AJ22" s="133"/>
      <c r="AK22" s="133"/>
      <c r="AL22" s="133"/>
      <c r="AM22" s="133"/>
    </row>
    <row r="23" ht="19" customHeight="1">
      <c r="A23" s="119">
        <v>10</v>
      </c>
      <c r="B23" t="s" s="91">
        <v>62</v>
      </c>
      <c r="C23" s="141"/>
      <c r="D23" s="70"/>
      <c r="E23" s="199">
        <f>H23</f>
        <v>0.1921851682936327</v>
      </c>
      <c r="F23" s="200"/>
      <c r="G23" s="134"/>
      <c r="H23" s="180">
        <f>$C$3*(1/($C$9*1000))*J23</f>
        <v>0.1921851682936327</v>
      </c>
      <c r="I23" s="136"/>
      <c r="J23" s="124">
        <f>HLOOKUP($C$4,$P$14:$AG$67,A23)</f>
        <v>0.97</v>
      </c>
      <c r="K23" s="137"/>
      <c r="L23" s="70"/>
      <c r="M23" s="70"/>
      <c r="N23" s="70"/>
      <c r="O23" s="138"/>
      <c r="P23" s="181">
        <v>0.97</v>
      </c>
      <c r="Q23" s="186">
        <f>P23</f>
        <v>0.97</v>
      </c>
      <c r="R23" s="188">
        <f>Q23</f>
        <v>0.97</v>
      </c>
      <c r="S23" s="188">
        <f>R23</f>
        <v>0.97</v>
      </c>
      <c r="T23" s="188">
        <f>S23</f>
        <v>0.97</v>
      </c>
      <c r="U23" s="183">
        <f>T23</f>
        <v>0.97</v>
      </c>
      <c r="V23" s="188">
        <f>U23</f>
        <v>0.97</v>
      </c>
      <c r="W23" s="188">
        <f>V23</f>
        <v>0.97</v>
      </c>
      <c r="X23" s="188">
        <f>W23</f>
        <v>0.97</v>
      </c>
      <c r="Y23" s="188">
        <f>X23</f>
        <v>0.97</v>
      </c>
      <c r="Z23" s="187">
        <f>Y23</f>
        <v>0.97</v>
      </c>
      <c r="AA23" s="188">
        <f>Z23</f>
        <v>0.97</v>
      </c>
      <c r="AB23" s="188">
        <f>AA23</f>
        <v>0.97</v>
      </c>
      <c r="AC23" s="188">
        <f>AB23</f>
        <v>0.97</v>
      </c>
      <c r="AD23" s="188">
        <f>AC23</f>
        <v>0.97</v>
      </c>
      <c r="AE23" s="188">
        <f>AD23</f>
        <v>0.97</v>
      </c>
      <c r="AF23" s="188">
        <f>AE23</f>
        <v>0.97</v>
      </c>
      <c r="AG23" s="188">
        <f>AF23</f>
        <v>0.97</v>
      </c>
      <c r="AH23" s="133"/>
      <c r="AI23" s="133"/>
      <c r="AJ23" s="133"/>
      <c r="AK23" s="133"/>
      <c r="AL23" s="133"/>
      <c r="AM23" s="133"/>
    </row>
    <row r="24" ht="19" customHeight="1">
      <c r="A24" s="119">
        <v>11</v>
      </c>
      <c r="B24" t="s" s="91">
        <v>63</v>
      </c>
      <c r="C24" s="141"/>
      <c r="D24" s="134"/>
      <c r="E24" s="180">
        <f>$C$3*(1/($C$9*1000))*F24</f>
        <v>0.6934516381729017</v>
      </c>
      <c r="F24" s="196">
        <v>3.5</v>
      </c>
      <c r="G24" s="197"/>
      <c r="H24" s="180">
        <f>$C$3*(1/($C$9*1000))*J24</f>
        <v>0.4457903388254368</v>
      </c>
      <c r="I24" s="198"/>
      <c r="J24" s="124">
        <f>HLOOKUP($C$4,$P$14:$AG$67,A24)</f>
        <v>2.25</v>
      </c>
      <c r="K24" s="137"/>
      <c r="L24" s="70"/>
      <c r="M24" s="70"/>
      <c r="N24" s="70"/>
      <c r="O24" s="138"/>
      <c r="P24" s="181">
        <v>2.25</v>
      </c>
      <c r="Q24" s="186">
        <f>P24</f>
        <v>2.25</v>
      </c>
      <c r="R24" s="188">
        <f>Q24</f>
        <v>2.25</v>
      </c>
      <c r="S24" s="188">
        <f>R24</f>
        <v>2.25</v>
      </c>
      <c r="T24" s="188">
        <f>S24</f>
        <v>2.25</v>
      </c>
      <c r="U24" s="187">
        <f>T24</f>
        <v>2.25</v>
      </c>
      <c r="V24" s="188">
        <f>U24</f>
        <v>2.25</v>
      </c>
      <c r="W24" s="188">
        <f>V24</f>
        <v>2.25</v>
      </c>
      <c r="X24" s="188">
        <f>W24</f>
        <v>2.25</v>
      </c>
      <c r="Y24" s="189">
        <f>X24</f>
        <v>2.25</v>
      </c>
      <c r="Z24" s="194">
        <v>3</v>
      </c>
      <c r="AA24" s="186">
        <f>Z24</f>
        <v>3</v>
      </c>
      <c r="AB24" s="188">
        <f>AA24</f>
        <v>3</v>
      </c>
      <c r="AC24" s="188">
        <f>AB24</f>
        <v>3</v>
      </c>
      <c r="AD24" s="188">
        <f>AC24</f>
        <v>3</v>
      </c>
      <c r="AE24" s="188">
        <f>AD24</f>
        <v>3</v>
      </c>
      <c r="AF24" s="188">
        <f>AE24</f>
        <v>3</v>
      </c>
      <c r="AG24" s="188">
        <f>AF24</f>
        <v>3</v>
      </c>
      <c r="AH24" s="133"/>
      <c r="AI24" s="133"/>
      <c r="AJ24" s="133"/>
      <c r="AK24" s="133"/>
      <c r="AL24" s="133"/>
      <c r="AM24" s="133"/>
    </row>
    <row r="25" ht="19" customHeight="1">
      <c r="A25" s="119">
        <v>12</v>
      </c>
      <c r="B25" t="s" s="91">
        <v>64</v>
      </c>
      <c r="C25" s="141"/>
      <c r="D25" s="70"/>
      <c r="E25" s="199">
        <f>H25</f>
        <v>0.4636219523784543</v>
      </c>
      <c r="F25" s="200"/>
      <c r="G25" s="134"/>
      <c r="H25" s="180">
        <f>$C$3*(1/($C$9*1000))*J25</f>
        <v>0.4636219523784543</v>
      </c>
      <c r="I25" s="136"/>
      <c r="J25" s="124">
        <f>HLOOKUP($C$4,$P$14:$AG$67,A25)+O25</f>
        <v>2.34</v>
      </c>
      <c r="K25" s="137"/>
      <c r="L25" s="70"/>
      <c r="M25" s="70"/>
      <c r="N25" s="70"/>
      <c r="O25" s="151">
        <v>0.83</v>
      </c>
      <c r="P25" s="181">
        <v>1.51</v>
      </c>
      <c r="Q25" s="186">
        <f>P25</f>
        <v>1.51</v>
      </c>
      <c r="R25" s="188">
        <f>Q25</f>
        <v>1.51</v>
      </c>
      <c r="S25" s="188">
        <f>R25</f>
        <v>1.51</v>
      </c>
      <c r="T25" s="189">
        <f>S25</f>
        <v>1.51</v>
      </c>
      <c r="U25" s="194">
        <v>2.54</v>
      </c>
      <c r="V25" s="186">
        <f>U25</f>
        <v>2.54</v>
      </c>
      <c r="W25" s="188">
        <f>V25</f>
        <v>2.54</v>
      </c>
      <c r="X25" s="188">
        <f>W25</f>
        <v>2.54</v>
      </c>
      <c r="Y25" s="188">
        <f>X25</f>
        <v>2.54</v>
      </c>
      <c r="Z25" s="183">
        <f>Y25</f>
        <v>2.54</v>
      </c>
      <c r="AA25" s="188">
        <f>Z25</f>
        <v>2.54</v>
      </c>
      <c r="AB25" s="188">
        <f>AA25</f>
        <v>2.54</v>
      </c>
      <c r="AC25" s="188">
        <f>AB25</f>
        <v>2.54</v>
      </c>
      <c r="AD25" s="188">
        <f>AC25</f>
        <v>2.54</v>
      </c>
      <c r="AE25" s="188">
        <f>AD25</f>
        <v>2.54</v>
      </c>
      <c r="AF25" s="188">
        <f>AE25</f>
        <v>2.54</v>
      </c>
      <c r="AG25" s="188">
        <f>AF25</f>
        <v>2.54</v>
      </c>
      <c r="AH25" s="133"/>
      <c r="AI25" s="133"/>
      <c r="AJ25" s="133"/>
      <c r="AK25" s="133"/>
      <c r="AL25" s="133"/>
      <c r="AM25" s="133"/>
    </row>
    <row r="26" ht="19" customHeight="1">
      <c r="A26" s="119">
        <v>13</v>
      </c>
      <c r="B26" t="s" s="91">
        <v>65</v>
      </c>
      <c r="C26" s="141"/>
      <c r="D26" s="134"/>
      <c r="E26" s="180">
        <f>$C$3*(1/($C$9*1000))*F26</f>
        <v>0.4200335636933005</v>
      </c>
      <c r="F26" s="196">
        <v>2.12</v>
      </c>
      <c r="G26" s="197"/>
      <c r="H26" s="180">
        <f>$C$3*(1/($C$9*1000))*J26</f>
        <v>0.2734180744796012</v>
      </c>
      <c r="I26" s="198"/>
      <c r="J26" s="124">
        <f>HLOOKUP($C$4,$P$14:$AG$67,A26)</f>
        <v>1.38</v>
      </c>
      <c r="K26" s="137"/>
      <c r="L26" s="70"/>
      <c r="M26" s="70"/>
      <c r="N26" s="70"/>
      <c r="O26" s="138"/>
      <c r="P26" s="181">
        <v>1.38</v>
      </c>
      <c r="Q26" s="186">
        <f>P26</f>
        <v>1.38</v>
      </c>
      <c r="R26" s="187">
        <f>Q26</f>
        <v>1.38</v>
      </c>
      <c r="S26" s="188">
        <f>R26</f>
        <v>1.38</v>
      </c>
      <c r="T26" s="188">
        <f>S26</f>
        <v>1.38</v>
      </c>
      <c r="U26" s="183">
        <f>T26</f>
        <v>1.38</v>
      </c>
      <c r="V26" s="188">
        <f>U26</f>
        <v>1.38</v>
      </c>
      <c r="W26" s="188">
        <f>V26</f>
        <v>1.38</v>
      </c>
      <c r="X26" s="188">
        <f>W26</f>
        <v>1.38</v>
      </c>
      <c r="Y26" s="188">
        <f>X26</f>
        <v>1.38</v>
      </c>
      <c r="Z26" s="188">
        <f>Y26</f>
        <v>1.38</v>
      </c>
      <c r="AA26" s="188">
        <f>Z26</f>
        <v>1.38</v>
      </c>
      <c r="AB26" s="188">
        <f>AA26</f>
        <v>1.38</v>
      </c>
      <c r="AC26" s="188">
        <f>AB26</f>
        <v>1.38</v>
      </c>
      <c r="AD26" s="188">
        <f>AC26</f>
        <v>1.38</v>
      </c>
      <c r="AE26" s="188">
        <f>AD26</f>
        <v>1.38</v>
      </c>
      <c r="AF26" s="188">
        <f>AE26</f>
        <v>1.38</v>
      </c>
      <c r="AG26" s="188">
        <f>AF26</f>
        <v>1.38</v>
      </c>
      <c r="AH26" s="133"/>
      <c r="AI26" s="133"/>
      <c r="AJ26" s="133"/>
      <c r="AK26" s="133"/>
      <c r="AL26" s="133"/>
      <c r="AM26" s="133"/>
    </row>
    <row r="27" ht="19" customHeight="1">
      <c r="A27" s="119">
        <v>14</v>
      </c>
      <c r="B27" t="s" s="91">
        <v>66</v>
      </c>
      <c r="C27" s="141"/>
      <c r="D27" s="70"/>
      <c r="E27" s="201">
        <f>H27</f>
        <v>0.3467258190864508</v>
      </c>
      <c r="F27" s="104"/>
      <c r="G27" s="134"/>
      <c r="H27" s="180">
        <f>$C$3*(1/($C$9*1000))*J27</f>
        <v>0.3467258190864508</v>
      </c>
      <c r="I27" s="136"/>
      <c r="J27" s="124">
        <f>HLOOKUP($C$4,$P$14:$AG$67,A27)</f>
        <v>1.75</v>
      </c>
      <c r="K27" s="137"/>
      <c r="L27" s="70"/>
      <c r="M27" s="70"/>
      <c r="N27" s="70"/>
      <c r="O27" s="138"/>
      <c r="P27" s="181">
        <v>0.19</v>
      </c>
      <c r="Q27" s="193">
        <f>P27</f>
        <v>0.19</v>
      </c>
      <c r="R27" s="194">
        <v>1.75</v>
      </c>
      <c r="S27" s="186">
        <f>R27</f>
        <v>1.75</v>
      </c>
      <c r="T27" s="188">
        <f>S27</f>
        <v>1.75</v>
      </c>
      <c r="U27" s="188">
        <f>T27</f>
        <v>1.75</v>
      </c>
      <c r="V27" s="188">
        <f>U27</f>
        <v>1.75</v>
      </c>
      <c r="W27" s="188">
        <f>V27</f>
        <v>1.75</v>
      </c>
      <c r="X27" s="188">
        <f>W27</f>
        <v>1.75</v>
      </c>
      <c r="Y27" s="188">
        <f>X27</f>
        <v>1.75</v>
      </c>
      <c r="Z27" s="188">
        <f>Y27</f>
        <v>1.75</v>
      </c>
      <c r="AA27" s="188">
        <f>Z27</f>
        <v>1.75</v>
      </c>
      <c r="AB27" s="188">
        <f>AA27</f>
        <v>1.75</v>
      </c>
      <c r="AC27" s="188">
        <f>AB27</f>
        <v>1.75</v>
      </c>
      <c r="AD27" s="188">
        <f>AC27</f>
        <v>1.75</v>
      </c>
      <c r="AE27" s="188">
        <f>AD27</f>
        <v>1.75</v>
      </c>
      <c r="AF27" s="188">
        <f>AE27</f>
        <v>1.75</v>
      </c>
      <c r="AG27" s="188">
        <f>AF27</f>
        <v>1.75</v>
      </c>
      <c r="AH27" s="133"/>
      <c r="AI27" s="133"/>
      <c r="AJ27" s="133"/>
      <c r="AK27" s="133"/>
      <c r="AL27" s="133"/>
      <c r="AM27" s="133"/>
    </row>
    <row r="28" ht="19" customHeight="1">
      <c r="A28" s="119">
        <v>15</v>
      </c>
      <c r="B28" t="s" s="91">
        <v>67</v>
      </c>
      <c r="C28" s="141"/>
      <c r="D28" s="70"/>
      <c r="E28" s="185">
        <f>H28</f>
        <v>0.08915806776508736</v>
      </c>
      <c r="F28" s="70"/>
      <c r="G28" s="134"/>
      <c r="H28" s="180">
        <f>$C$3*(1/($C$9*1000))*J28</f>
        <v>0.08915806776508736</v>
      </c>
      <c r="I28" s="136"/>
      <c r="J28" s="124">
        <f>HLOOKUP($C$4,$P$14:$AG$67,A28)</f>
        <v>0.45</v>
      </c>
      <c r="K28" s="137"/>
      <c r="L28" s="70"/>
      <c r="M28" s="70"/>
      <c r="N28" s="70"/>
      <c r="O28" s="138"/>
      <c r="P28" s="181">
        <v>0.45</v>
      </c>
      <c r="Q28" s="186">
        <f>P28</f>
        <v>0.45</v>
      </c>
      <c r="R28" s="183">
        <f>Q28</f>
        <v>0.45</v>
      </c>
      <c r="S28" s="188">
        <f>R28</f>
        <v>0.45</v>
      </c>
      <c r="T28" s="188">
        <f>S28</f>
        <v>0.45</v>
      </c>
      <c r="U28" s="188">
        <f>T28</f>
        <v>0.45</v>
      </c>
      <c r="V28" s="188">
        <f>U28</f>
        <v>0.45</v>
      </c>
      <c r="W28" s="188">
        <f>V28</f>
        <v>0.45</v>
      </c>
      <c r="X28" s="188">
        <f>W28</f>
        <v>0.45</v>
      </c>
      <c r="Y28" s="188">
        <f>X28</f>
        <v>0.45</v>
      </c>
      <c r="Z28" s="188">
        <f>Y28</f>
        <v>0.45</v>
      </c>
      <c r="AA28" s="187">
        <f>Z28</f>
        <v>0.45</v>
      </c>
      <c r="AB28" s="188">
        <f>AA28</f>
        <v>0.45</v>
      </c>
      <c r="AC28" s="188">
        <f>AB28</f>
        <v>0.45</v>
      </c>
      <c r="AD28" s="188">
        <f>AC28</f>
        <v>0.45</v>
      </c>
      <c r="AE28" s="188">
        <f>AD28</f>
        <v>0.45</v>
      </c>
      <c r="AF28" s="188">
        <f>AE28</f>
        <v>0.45</v>
      </c>
      <c r="AG28" s="188">
        <f>AF28</f>
        <v>0.45</v>
      </c>
      <c r="AH28" s="133"/>
      <c r="AI28" s="133"/>
      <c r="AJ28" s="133"/>
      <c r="AK28" s="133"/>
      <c r="AL28" s="133"/>
      <c r="AM28" s="133"/>
    </row>
    <row r="29" ht="19" customHeight="1">
      <c r="A29" s="119">
        <v>16</v>
      </c>
      <c r="B29" t="s" s="91">
        <v>68</v>
      </c>
      <c r="C29" s="141"/>
      <c r="D29" s="70"/>
      <c r="E29" s="185">
        <f>H29</f>
        <v>0.2753993648743809</v>
      </c>
      <c r="F29" s="70"/>
      <c r="G29" s="134"/>
      <c r="H29" s="180">
        <f>$C$3*(1/($C$9*1000))*J29</f>
        <v>0.2753993648743809</v>
      </c>
      <c r="I29" s="136"/>
      <c r="J29" s="124">
        <f>HLOOKUP($C$4,$P$14:$AG$67,A29)</f>
        <v>1.39</v>
      </c>
      <c r="K29" s="137"/>
      <c r="L29" s="70"/>
      <c r="M29" s="70"/>
      <c r="N29" s="70"/>
      <c r="O29" s="138"/>
      <c r="P29" s="181">
        <v>1.39</v>
      </c>
      <c r="Q29" s="186">
        <f>P29</f>
        <v>1.39</v>
      </c>
      <c r="R29" s="188">
        <f>Q29</f>
        <v>1.39</v>
      </c>
      <c r="S29" s="188">
        <f>R29</f>
        <v>1.39</v>
      </c>
      <c r="T29" s="188">
        <f>S29</f>
        <v>1.39</v>
      </c>
      <c r="U29" s="188">
        <f>T29</f>
        <v>1.39</v>
      </c>
      <c r="V29" s="188">
        <f>U29</f>
        <v>1.39</v>
      </c>
      <c r="W29" s="188">
        <f>V29</f>
        <v>1.39</v>
      </c>
      <c r="X29" s="188">
        <f>W29</f>
        <v>1.39</v>
      </c>
      <c r="Y29" s="188">
        <f>X29</f>
        <v>1.39</v>
      </c>
      <c r="Z29" s="189">
        <f>Y29</f>
        <v>1.39</v>
      </c>
      <c r="AA29" s="194">
        <v>8.550000000000001</v>
      </c>
      <c r="AB29" s="186">
        <f>AA29</f>
        <v>8.550000000000001</v>
      </c>
      <c r="AC29" s="188">
        <f>AB29</f>
        <v>8.550000000000001</v>
      </c>
      <c r="AD29" s="188">
        <f>AC29</f>
        <v>8.550000000000001</v>
      </c>
      <c r="AE29" s="188">
        <f>AD29</f>
        <v>8.550000000000001</v>
      </c>
      <c r="AF29" s="188">
        <f>AE29</f>
        <v>8.550000000000001</v>
      </c>
      <c r="AG29" s="188">
        <f>AF29</f>
        <v>8.550000000000001</v>
      </c>
      <c r="AH29" s="133"/>
      <c r="AI29" s="133"/>
      <c r="AJ29" s="133"/>
      <c r="AK29" s="133"/>
      <c r="AL29" s="133"/>
      <c r="AM29" s="133"/>
    </row>
    <row r="30" ht="19" customHeight="1">
      <c r="A30" s="119">
        <v>17</v>
      </c>
      <c r="B30" t="s" s="91">
        <v>69</v>
      </c>
      <c r="C30" s="141"/>
      <c r="D30" s="70"/>
      <c r="E30" s="185">
        <f>H30</f>
        <v>0.3467258190864508</v>
      </c>
      <c r="F30" s="70"/>
      <c r="G30" s="134"/>
      <c r="H30" s="180">
        <f>$C$3*(1/($C$9*1000))*J30</f>
        <v>0.3467258190864508</v>
      </c>
      <c r="I30" s="136"/>
      <c r="J30" s="124">
        <f>HLOOKUP($C$4,$P$14:$AG$67,A30)+O30</f>
        <v>1.75</v>
      </c>
      <c r="K30" s="137"/>
      <c r="L30" s="70"/>
      <c r="M30" s="70"/>
      <c r="N30" s="70"/>
      <c r="O30" s="151">
        <v>0.36</v>
      </c>
      <c r="P30" s="202">
        <f>P29</f>
        <v>1.39</v>
      </c>
      <c r="Q30" s="188">
        <f>Q29</f>
        <v>1.39</v>
      </c>
      <c r="R30" s="188">
        <f>R29</f>
        <v>1.39</v>
      </c>
      <c r="S30" s="188">
        <f>S29</f>
        <v>1.39</v>
      </c>
      <c r="T30" s="188">
        <f>T29</f>
        <v>1.39</v>
      </c>
      <c r="U30" s="188">
        <f>U29</f>
        <v>1.39</v>
      </c>
      <c r="V30" s="188">
        <f>V29</f>
        <v>1.39</v>
      </c>
      <c r="W30" s="188">
        <f>W29</f>
        <v>1.39</v>
      </c>
      <c r="X30" s="188">
        <f>X29</f>
        <v>1.39</v>
      </c>
      <c r="Y30" s="188">
        <f>Y29</f>
        <v>1.39</v>
      </c>
      <c r="Z30" s="188">
        <v>1.39</v>
      </c>
      <c r="AA30" s="184">
        <f>AA29</f>
        <v>8.550000000000001</v>
      </c>
      <c r="AB30" s="188">
        <f>AA30</f>
        <v>8.550000000000001</v>
      </c>
      <c r="AC30" s="188">
        <f>AB30</f>
        <v>8.550000000000001</v>
      </c>
      <c r="AD30" s="188">
        <f>AC30</f>
        <v>8.550000000000001</v>
      </c>
      <c r="AE30" s="188">
        <f>AD30</f>
        <v>8.550000000000001</v>
      </c>
      <c r="AF30" s="188">
        <f>AE30</f>
        <v>8.550000000000001</v>
      </c>
      <c r="AG30" s="188">
        <f>AF30</f>
        <v>8.550000000000001</v>
      </c>
      <c r="AH30" s="133"/>
      <c r="AI30" s="133"/>
      <c r="AJ30" s="133"/>
      <c r="AK30" s="133"/>
      <c r="AL30" s="133"/>
      <c r="AM30" s="133"/>
    </row>
    <row r="31" ht="19" customHeight="1">
      <c r="A31" s="119">
        <v>18</v>
      </c>
      <c r="B31" t="s" s="91">
        <v>70</v>
      </c>
      <c r="C31" s="141"/>
      <c r="D31" s="70"/>
      <c r="E31" s="185">
        <f>H31</f>
        <v>0.3071000111908564</v>
      </c>
      <c r="F31" s="70"/>
      <c r="G31" s="134"/>
      <c r="H31" s="180">
        <f>$C$3*(1/($C$9*1000))*J31</f>
        <v>0.3071000111908564</v>
      </c>
      <c r="I31" s="136"/>
      <c r="J31" s="124">
        <f>HLOOKUP($C$4,$P$14:$AG$67,A31)+O31</f>
        <v>1.55</v>
      </c>
      <c r="K31" s="137"/>
      <c r="L31" s="70"/>
      <c r="M31" s="70"/>
      <c r="N31" s="70"/>
      <c r="O31" s="151">
        <v>0.16</v>
      </c>
      <c r="P31" s="203">
        <f>P29</f>
        <v>1.39</v>
      </c>
      <c r="Q31" s="188">
        <f>Q29</f>
        <v>1.39</v>
      </c>
      <c r="R31" s="188">
        <f>R29</f>
        <v>1.39</v>
      </c>
      <c r="S31" s="188">
        <f>S29</f>
        <v>1.39</v>
      </c>
      <c r="T31" s="188">
        <f>T29</f>
        <v>1.39</v>
      </c>
      <c r="U31" s="188">
        <f>U29</f>
        <v>1.39</v>
      </c>
      <c r="V31" s="188">
        <f>V29</f>
        <v>1.39</v>
      </c>
      <c r="W31" s="188">
        <f>W29</f>
        <v>1.39</v>
      </c>
      <c r="X31" s="188">
        <f>X29</f>
        <v>1.39</v>
      </c>
      <c r="Y31" s="188">
        <f>Y29</f>
        <v>1.39</v>
      </c>
      <c r="Z31" s="189">
        <v>1.39</v>
      </c>
      <c r="AA31" s="194">
        <f>AA29+0.3</f>
        <v>8.850000000000001</v>
      </c>
      <c r="AB31" s="204">
        <f>AA31</f>
        <v>8.850000000000001</v>
      </c>
      <c r="AC31" s="188">
        <f>AB31</f>
        <v>8.850000000000001</v>
      </c>
      <c r="AD31" s="188">
        <f>AC31</f>
        <v>8.850000000000001</v>
      </c>
      <c r="AE31" s="188">
        <f>AD31</f>
        <v>8.850000000000001</v>
      </c>
      <c r="AF31" s="188">
        <f>AE31</f>
        <v>8.850000000000001</v>
      </c>
      <c r="AG31" s="188">
        <f>AF31</f>
        <v>8.850000000000001</v>
      </c>
      <c r="AH31" t="s" s="74">
        <v>137</v>
      </c>
      <c r="AI31" s="133"/>
      <c r="AJ31" s="133"/>
      <c r="AK31" s="133"/>
      <c r="AL31" s="133"/>
      <c r="AM31" s="133"/>
    </row>
    <row r="32" ht="19" customHeight="1">
      <c r="A32" s="119">
        <v>19</v>
      </c>
      <c r="B32" t="s" s="91">
        <v>71</v>
      </c>
      <c r="C32" s="141"/>
      <c r="D32" s="70"/>
      <c r="E32" s="185">
        <f>H32</f>
        <v>0.0931206485546468</v>
      </c>
      <c r="F32" s="70"/>
      <c r="G32" s="134"/>
      <c r="H32" s="180">
        <f>$C$3*(1/($C$9*1000))*J32</f>
        <v>0.0931206485546468</v>
      </c>
      <c r="I32" s="136"/>
      <c r="J32" s="124">
        <f>HLOOKUP($C$4,$P$14:$AG$67,A32)</f>
        <v>0.47</v>
      </c>
      <c r="K32" s="137"/>
      <c r="L32" s="70"/>
      <c r="M32" s="70"/>
      <c r="N32" s="70"/>
      <c r="O32" s="138"/>
      <c r="P32" s="181">
        <v>0.47</v>
      </c>
      <c r="Q32" s="186">
        <f>P32</f>
        <v>0.47</v>
      </c>
      <c r="R32" s="188">
        <f>Q32</f>
        <v>0.47</v>
      </c>
      <c r="S32" s="188">
        <f>R32</f>
        <v>0.47</v>
      </c>
      <c r="T32" s="188">
        <f>S32</f>
        <v>0.47</v>
      </c>
      <c r="U32" s="187">
        <f>T32</f>
        <v>0.47</v>
      </c>
      <c r="V32" s="188">
        <f>U32</f>
        <v>0.47</v>
      </c>
      <c r="W32" s="188">
        <f>V32</f>
        <v>0.47</v>
      </c>
      <c r="X32" s="188">
        <f>W32</f>
        <v>0.47</v>
      </c>
      <c r="Y32" s="188">
        <f>X32</f>
        <v>0.47</v>
      </c>
      <c r="Z32" s="188">
        <f>Y32</f>
        <v>0.47</v>
      </c>
      <c r="AA32" s="205">
        <f>Z32</f>
        <v>0.47</v>
      </c>
      <c r="AB32" s="194">
        <v>2.68</v>
      </c>
      <c r="AC32" s="186">
        <f>AB32</f>
        <v>2.68</v>
      </c>
      <c r="AD32" s="188">
        <f>AC32</f>
        <v>2.68</v>
      </c>
      <c r="AE32" s="188">
        <f>AD32</f>
        <v>2.68</v>
      </c>
      <c r="AF32" s="188">
        <f>AE32</f>
        <v>2.68</v>
      </c>
      <c r="AG32" s="188">
        <f>AF32</f>
        <v>2.68</v>
      </c>
      <c r="AH32" s="133"/>
      <c r="AI32" s="133"/>
      <c r="AJ32" s="133"/>
      <c r="AK32" s="133"/>
      <c r="AL32" s="133"/>
      <c r="AM32" s="133"/>
    </row>
    <row r="33" ht="19" customHeight="1">
      <c r="A33" s="119">
        <v>20</v>
      </c>
      <c r="B33" t="s" s="91">
        <v>72</v>
      </c>
      <c r="C33" s="141"/>
      <c r="D33" s="70"/>
      <c r="E33" s="185">
        <f>H33</f>
        <v>0.05943871184339157</v>
      </c>
      <c r="F33" s="70"/>
      <c r="G33" s="134"/>
      <c r="H33" s="180">
        <f>$C$3*(1/($C$9*1000))*J33</f>
        <v>0.05943871184339157</v>
      </c>
      <c r="I33" s="136"/>
      <c r="J33" s="124">
        <f>HLOOKUP($C$4,$P$14:$AG$67,A33)</f>
        <v>0.3</v>
      </c>
      <c r="K33" s="137"/>
      <c r="L33" s="70"/>
      <c r="M33" s="70"/>
      <c r="N33" s="70"/>
      <c r="O33" s="138"/>
      <c r="P33" s="181">
        <v>0.3</v>
      </c>
      <c r="Q33" s="186">
        <f>P33</f>
        <v>0.3</v>
      </c>
      <c r="R33" s="188">
        <f>Q33</f>
        <v>0.3</v>
      </c>
      <c r="S33" s="188">
        <f>R33</f>
        <v>0.3</v>
      </c>
      <c r="T33" s="189">
        <f>S33</f>
        <v>0.3</v>
      </c>
      <c r="U33" s="194">
        <v>0.75</v>
      </c>
      <c r="V33" s="186">
        <f>U33</f>
        <v>0.75</v>
      </c>
      <c r="W33" s="188">
        <f>V33</f>
        <v>0.75</v>
      </c>
      <c r="X33" s="188">
        <f>W33</f>
        <v>0.75</v>
      </c>
      <c r="Y33" s="188">
        <f>X33</f>
        <v>0.75</v>
      </c>
      <c r="Z33" s="188">
        <f>Y33</f>
        <v>0.75</v>
      </c>
      <c r="AA33" s="188">
        <f>Z33</f>
        <v>0.75</v>
      </c>
      <c r="AB33" s="183">
        <f>AA33</f>
        <v>0.75</v>
      </c>
      <c r="AC33" s="188">
        <f>AB33</f>
        <v>0.75</v>
      </c>
      <c r="AD33" s="188">
        <f>AC33</f>
        <v>0.75</v>
      </c>
      <c r="AE33" s="188">
        <f>AD33</f>
        <v>0.75</v>
      </c>
      <c r="AF33" s="188">
        <f>AE33</f>
        <v>0.75</v>
      </c>
      <c r="AG33" s="188">
        <f>AF33</f>
        <v>0.75</v>
      </c>
      <c r="AH33" s="133"/>
      <c r="AI33" s="133"/>
      <c r="AJ33" s="133"/>
      <c r="AK33" s="133"/>
      <c r="AL33" s="133"/>
      <c r="AM33" s="133"/>
    </row>
    <row r="34" ht="19" customHeight="1">
      <c r="A34" s="119">
        <v>21</v>
      </c>
      <c r="B34" t="s" s="91">
        <v>73</v>
      </c>
      <c r="C34" s="141"/>
      <c r="D34" s="70"/>
      <c r="E34" s="195">
        <f>H34</f>
        <v>1.141064519738986</v>
      </c>
      <c r="F34" s="96"/>
      <c r="G34" s="134"/>
      <c r="H34" s="180">
        <f>$C$6*N34+$C$3*(1/($C$9*1000))*J34</f>
        <v>1.141064519738986</v>
      </c>
      <c r="I34" s="136"/>
      <c r="J34" s="124">
        <f>HLOOKUP($C$4,$P$14:$AG$67,A34)</f>
        <v>0.5</v>
      </c>
      <c r="K34" s="137"/>
      <c r="L34" s="70"/>
      <c r="M34" s="133"/>
      <c r="N34" s="79">
        <v>0.11</v>
      </c>
      <c r="O34" s="138"/>
      <c r="P34" s="181">
        <v>0.5</v>
      </c>
      <c r="Q34" s="186">
        <f>P34</f>
        <v>0.5</v>
      </c>
      <c r="R34" s="188">
        <f>Q34</f>
        <v>0.5</v>
      </c>
      <c r="S34" s="188">
        <f>R34</f>
        <v>0.5</v>
      </c>
      <c r="T34" s="188">
        <f>S34</f>
        <v>0.5</v>
      </c>
      <c r="U34" s="184">
        <f>T34</f>
        <v>0.5</v>
      </c>
      <c r="V34" s="188">
        <f>U34</f>
        <v>0.5</v>
      </c>
      <c r="W34" s="188">
        <f>V34</f>
        <v>0.5</v>
      </c>
      <c r="X34" s="188">
        <f>W34</f>
        <v>0.5</v>
      </c>
      <c r="Y34" s="188">
        <f>X34</f>
        <v>0.5</v>
      </c>
      <c r="Z34" s="188">
        <f>Y34</f>
        <v>0.5</v>
      </c>
      <c r="AA34" s="188">
        <f>Z34</f>
        <v>0.5</v>
      </c>
      <c r="AB34" s="188">
        <f>AA34</f>
        <v>0.5</v>
      </c>
      <c r="AC34" s="188">
        <f>AB34</f>
        <v>0.5</v>
      </c>
      <c r="AD34" s="187">
        <f>AC34</f>
        <v>0.5</v>
      </c>
      <c r="AE34" s="188">
        <f>AD34</f>
        <v>0.5</v>
      </c>
      <c r="AF34" s="188">
        <f>AE34</f>
        <v>0.5</v>
      </c>
      <c r="AG34" s="188">
        <f>AF34</f>
        <v>0.5</v>
      </c>
      <c r="AH34" s="133"/>
      <c r="AI34" s="133"/>
      <c r="AJ34" s="133"/>
      <c r="AK34" s="133"/>
      <c r="AL34" s="133"/>
      <c r="AM34" s="133"/>
    </row>
    <row r="35" ht="19" customHeight="1">
      <c r="A35" s="119">
        <v>22</v>
      </c>
      <c r="B35" t="s" s="91">
        <v>74</v>
      </c>
      <c r="C35" s="141"/>
      <c r="D35" s="134"/>
      <c r="E35" s="180">
        <f>$C$3*(1/($C$9*1000))*F35</f>
        <v>0.3150251727699754</v>
      </c>
      <c r="F35" s="196">
        <v>1.59</v>
      </c>
      <c r="G35" s="197"/>
      <c r="H35" s="180">
        <f>$C$3*(1/($C$9*1000))*J35</f>
        <v>0.02179419434257691</v>
      </c>
      <c r="I35" s="198"/>
      <c r="J35" s="124">
        <f>HLOOKUP($C$4,$P$14:$AG$67,A35)</f>
        <v>0.11</v>
      </c>
      <c r="K35" s="137"/>
      <c r="L35" s="70"/>
      <c r="M35" s="70"/>
      <c r="N35" s="70"/>
      <c r="O35" s="138"/>
      <c r="P35" s="181">
        <v>0.11</v>
      </c>
      <c r="Q35" s="186">
        <f>P35</f>
        <v>0.11</v>
      </c>
      <c r="R35" s="188">
        <f>Q35</f>
        <v>0.11</v>
      </c>
      <c r="S35" s="188">
        <f>R35</f>
        <v>0.11</v>
      </c>
      <c r="T35" s="189">
        <f>S35</f>
        <v>0.11</v>
      </c>
      <c r="U35" s="194">
        <v>0.23</v>
      </c>
      <c r="V35" s="186">
        <f>U35</f>
        <v>0.23</v>
      </c>
      <c r="W35" s="188">
        <f>V35</f>
        <v>0.23</v>
      </c>
      <c r="X35" s="188">
        <f>W35</f>
        <v>0.23</v>
      </c>
      <c r="Y35" s="188">
        <f>X35</f>
        <v>0.23</v>
      </c>
      <c r="Z35" s="188">
        <f>Y35</f>
        <v>0.23</v>
      </c>
      <c r="AA35" s="188">
        <f>Z35</f>
        <v>0.23</v>
      </c>
      <c r="AB35" s="188">
        <f>AA35</f>
        <v>0.23</v>
      </c>
      <c r="AC35" s="189">
        <f>AB35</f>
        <v>0.23</v>
      </c>
      <c r="AD35" s="194">
        <v>1.59</v>
      </c>
      <c r="AE35" s="186">
        <f>AD35</f>
        <v>1.59</v>
      </c>
      <c r="AF35" s="188">
        <f>AE35</f>
        <v>1.59</v>
      </c>
      <c r="AG35" s="188">
        <f>AF35</f>
        <v>1.59</v>
      </c>
      <c r="AH35" s="133"/>
      <c r="AI35" s="133"/>
      <c r="AJ35" s="133"/>
      <c r="AK35" s="133"/>
      <c r="AL35" s="133"/>
      <c r="AM35" s="133"/>
    </row>
    <row r="36" ht="19" customHeight="1">
      <c r="A36" s="119">
        <v>23</v>
      </c>
      <c r="B36" t="s" s="91">
        <v>75</v>
      </c>
      <c r="C36" s="141"/>
      <c r="D36" s="134"/>
      <c r="E36" s="180">
        <f>$C$3*(1/($C$9*1000))*F36</f>
        <v>0.1386903276345803</v>
      </c>
      <c r="F36" s="196">
        <v>0.7</v>
      </c>
      <c r="G36" s="197"/>
      <c r="H36" s="180">
        <f>$C$3*(1/($C$9*1000))*J36</f>
        <v>0.1089709717128846</v>
      </c>
      <c r="I36" s="198"/>
      <c r="J36" s="124">
        <f>HLOOKUP($C$4,$P$14:$AG$67,A36)</f>
        <v>0.55</v>
      </c>
      <c r="K36" s="137"/>
      <c r="L36" s="70"/>
      <c r="M36" s="70"/>
      <c r="N36" s="70"/>
      <c r="O36" s="138"/>
      <c r="P36" s="181">
        <v>0.55</v>
      </c>
      <c r="Q36" s="186">
        <f>P36</f>
        <v>0.55</v>
      </c>
      <c r="R36" s="188">
        <f>Q36</f>
        <v>0.55</v>
      </c>
      <c r="S36" s="188">
        <f>R36</f>
        <v>0.55</v>
      </c>
      <c r="T36" s="188">
        <f>S36</f>
        <v>0.55</v>
      </c>
      <c r="U36" s="183">
        <f>T36</f>
        <v>0.55</v>
      </c>
      <c r="V36" s="188">
        <f>U36</f>
        <v>0.55</v>
      </c>
      <c r="W36" s="188">
        <f>V36</f>
        <v>0.55</v>
      </c>
      <c r="X36" s="188">
        <f>W36</f>
        <v>0.55</v>
      </c>
      <c r="Y36" s="188">
        <f>X36</f>
        <v>0.55</v>
      </c>
      <c r="Z36" s="188">
        <f>Y36</f>
        <v>0.55</v>
      </c>
      <c r="AA36" s="188">
        <f>Z36</f>
        <v>0.55</v>
      </c>
      <c r="AB36" s="188">
        <f>AA36</f>
        <v>0.55</v>
      </c>
      <c r="AC36" s="188">
        <f>AB36</f>
        <v>0.55</v>
      </c>
      <c r="AD36" s="183">
        <f>AC36</f>
        <v>0.55</v>
      </c>
      <c r="AE36" s="188">
        <f>AD36</f>
        <v>0.55</v>
      </c>
      <c r="AF36" s="188">
        <f>AE36</f>
        <v>0.55</v>
      </c>
      <c r="AG36" s="188">
        <f>AF36</f>
        <v>0.55</v>
      </c>
      <c r="AH36" s="133"/>
      <c r="AI36" s="133"/>
      <c r="AJ36" s="133"/>
      <c r="AK36" s="133"/>
      <c r="AL36" s="133"/>
      <c r="AM36" s="133"/>
    </row>
    <row r="37" ht="19" customHeight="1">
      <c r="A37" s="119">
        <v>24</v>
      </c>
      <c r="B37" t="s" s="91">
        <v>76</v>
      </c>
      <c r="C37" s="141"/>
      <c r="D37" s="70"/>
      <c r="E37" s="199">
        <f>H37</f>
        <v>0.07925161579118878</v>
      </c>
      <c r="F37" s="200"/>
      <c r="G37" s="134"/>
      <c r="H37" s="180">
        <f>$C$3*(1/($C$9*1000))*J37</f>
        <v>0.07925161579118878</v>
      </c>
      <c r="I37" s="136"/>
      <c r="J37" s="124">
        <f>HLOOKUP($C$4,$P$14:$AG$67,A37)</f>
        <v>0.4</v>
      </c>
      <c r="K37" s="137"/>
      <c r="L37" s="70"/>
      <c r="M37" s="70"/>
      <c r="N37" s="70"/>
      <c r="O37" s="138"/>
      <c r="P37" s="181">
        <v>0.4</v>
      </c>
      <c r="Q37" s="186">
        <f>P37</f>
        <v>0.4</v>
      </c>
      <c r="R37" s="188">
        <f>Q37</f>
        <v>0.4</v>
      </c>
      <c r="S37" s="188">
        <f>R37</f>
        <v>0.4</v>
      </c>
      <c r="T37" s="188">
        <f>S37</f>
        <v>0.4</v>
      </c>
      <c r="U37" s="188">
        <f>T37</f>
        <v>0.4</v>
      </c>
      <c r="V37" s="188">
        <f>U37</f>
        <v>0.4</v>
      </c>
      <c r="W37" s="187">
        <f>V37</f>
        <v>0.4</v>
      </c>
      <c r="X37" s="188">
        <f>W37</f>
        <v>0.4</v>
      </c>
      <c r="Y37" s="188">
        <f>X37</f>
        <v>0.4</v>
      </c>
      <c r="Z37" s="188">
        <f>Y37</f>
        <v>0.4</v>
      </c>
      <c r="AA37" s="188">
        <f>Z37</f>
        <v>0.4</v>
      </c>
      <c r="AB37" s="188">
        <f>AA37</f>
        <v>0.4</v>
      </c>
      <c r="AC37" s="188">
        <f>AB37</f>
        <v>0.4</v>
      </c>
      <c r="AD37" s="188">
        <f>AC37</f>
        <v>0.4</v>
      </c>
      <c r="AE37" s="188">
        <f>AD37</f>
        <v>0.4</v>
      </c>
      <c r="AF37" s="188">
        <f>AE37</f>
        <v>0.4</v>
      </c>
      <c r="AG37" s="188">
        <f>AF37</f>
        <v>0.4</v>
      </c>
      <c r="AH37" s="133"/>
      <c r="AI37" s="133"/>
      <c r="AJ37" s="133"/>
      <c r="AK37" s="133"/>
      <c r="AL37" s="133"/>
      <c r="AM37" s="133"/>
    </row>
    <row r="38" ht="19" customHeight="1">
      <c r="A38" s="119">
        <v>25</v>
      </c>
      <c r="B38" t="s" s="91">
        <v>77</v>
      </c>
      <c r="C38" s="141"/>
      <c r="D38" s="134"/>
      <c r="E38" s="180">
        <f>$C$3*(1/($C$9*1000))*F38</f>
        <v>0.2476612993474649</v>
      </c>
      <c r="F38" s="196">
        <v>1.25</v>
      </c>
      <c r="G38" s="197"/>
      <c r="H38" s="180">
        <f>IF(J38="CONTROL","CONTROL",$C$3*(1/($C$9*1000))*J38)</f>
        <v>0.1188774236867831</v>
      </c>
      <c r="I38" s="198"/>
      <c r="J38" s="124">
        <f>HLOOKUP($C$4,$P$14:$AG$67,A38)</f>
        <v>0.6</v>
      </c>
      <c r="K38" s="137"/>
      <c r="L38" s="70"/>
      <c r="M38" s="70"/>
      <c r="N38" s="70"/>
      <c r="O38" s="138"/>
      <c r="P38" s="181">
        <v>0.6</v>
      </c>
      <c r="Q38" s="186">
        <f>P38</f>
        <v>0.6</v>
      </c>
      <c r="R38" s="188">
        <f>Q38</f>
        <v>0.6</v>
      </c>
      <c r="S38" s="188">
        <f>R38</f>
        <v>0.6</v>
      </c>
      <c r="T38" s="188">
        <f>S38</f>
        <v>0.6</v>
      </c>
      <c r="U38" s="188">
        <f>T38</f>
        <v>0.6</v>
      </c>
      <c r="V38" s="189">
        <f>U38</f>
        <v>0.6</v>
      </c>
      <c r="W38" t="s" s="190">
        <v>126</v>
      </c>
      <c r="X38" t="s" s="206">
        <f>W38</f>
        <v>126</v>
      </c>
      <c r="Y38" t="s" s="192">
        <f>X38</f>
        <v>126</v>
      </c>
      <c r="Z38" t="s" s="192">
        <f>Y38</f>
        <v>126</v>
      </c>
      <c r="AA38" t="s" s="192">
        <f>Z38</f>
        <v>126</v>
      </c>
      <c r="AB38" t="s" s="192">
        <f>AA38</f>
        <v>126</v>
      </c>
      <c r="AC38" t="s" s="192">
        <f>AB38</f>
        <v>126</v>
      </c>
      <c r="AD38" t="s" s="192">
        <f>AC38</f>
        <v>126</v>
      </c>
      <c r="AE38" t="s" s="192">
        <f>AD38</f>
        <v>126</v>
      </c>
      <c r="AF38" t="s" s="192">
        <f>AE38</f>
        <v>126</v>
      </c>
      <c r="AG38" t="s" s="192">
        <f>AF38</f>
        <v>126</v>
      </c>
      <c r="AH38" s="133"/>
      <c r="AI38" s="133"/>
      <c r="AJ38" s="133"/>
      <c r="AK38" s="133"/>
      <c r="AL38" s="133"/>
      <c r="AM38" s="133"/>
    </row>
    <row r="39" ht="19" customHeight="1">
      <c r="A39" s="119">
        <v>26</v>
      </c>
      <c r="B39" t="s" s="91">
        <v>78</v>
      </c>
      <c r="C39" s="141"/>
      <c r="D39" s="70"/>
      <c r="E39" s="199">
        <f>H39</f>
        <v>0.1010458101337657</v>
      </c>
      <c r="F39" s="200"/>
      <c r="G39" s="134"/>
      <c r="H39" s="180">
        <f>$C$3*(1/($C$9*1000))*J39</f>
        <v>0.1010458101337657</v>
      </c>
      <c r="I39" s="136"/>
      <c r="J39" s="124">
        <f>HLOOKUP($C$4,$P$14:$AG$67,A39)</f>
        <v>0.51</v>
      </c>
      <c r="K39" s="137"/>
      <c r="L39" s="70"/>
      <c r="M39" s="70"/>
      <c r="N39" s="70"/>
      <c r="O39" s="138"/>
      <c r="P39" s="181">
        <v>0.51</v>
      </c>
      <c r="Q39" s="186">
        <f>P39</f>
        <v>0.51</v>
      </c>
      <c r="R39" s="188">
        <f>Q39</f>
        <v>0.51</v>
      </c>
      <c r="S39" s="188">
        <f>R39</f>
        <v>0.51</v>
      </c>
      <c r="T39" s="188">
        <f>S39</f>
        <v>0.51</v>
      </c>
      <c r="U39" s="187">
        <f>T39</f>
        <v>0.51</v>
      </c>
      <c r="V39" s="188">
        <f>U39</f>
        <v>0.51</v>
      </c>
      <c r="W39" s="205">
        <f>V39</f>
        <v>0.51</v>
      </c>
      <c r="X39" s="194">
        <v>0.76</v>
      </c>
      <c r="Y39" s="186">
        <f>X39</f>
        <v>0.76</v>
      </c>
      <c r="Z39" s="188">
        <f>Y39</f>
        <v>0.76</v>
      </c>
      <c r="AA39" s="188">
        <f>Z39</f>
        <v>0.76</v>
      </c>
      <c r="AB39" s="187">
        <f>AA39</f>
        <v>0.76</v>
      </c>
      <c r="AC39" s="188">
        <f>AB39</f>
        <v>0.76</v>
      </c>
      <c r="AD39" s="187">
        <f>AC39</f>
        <v>0.76</v>
      </c>
      <c r="AE39" s="188">
        <f>AD39</f>
        <v>0.76</v>
      </c>
      <c r="AF39" s="188">
        <f>AE39</f>
        <v>0.76</v>
      </c>
      <c r="AG39" s="188">
        <f>AF39</f>
        <v>0.76</v>
      </c>
      <c r="AH39" s="133"/>
      <c r="AI39" s="133"/>
      <c r="AJ39" s="133"/>
      <c r="AK39" s="133"/>
      <c r="AL39" s="133"/>
      <c r="AM39" s="133"/>
    </row>
    <row r="40" ht="19" customHeight="1">
      <c r="A40" s="119">
        <v>27</v>
      </c>
      <c r="B40" t="s" s="91">
        <v>79</v>
      </c>
      <c r="C40" s="141"/>
      <c r="D40" s="134"/>
      <c r="E40" s="180">
        <f>($C$3*(1/($C$9*1000))*F40)+IF(C3/50,L40)</f>
        <v>0.3705948518499089</v>
      </c>
      <c r="F40" s="196">
        <v>1.82</v>
      </c>
      <c r="G40" s="197"/>
      <c r="H40" s="180">
        <f>IF(C3&gt;50,L40,0)+$C$3*(1/($C$9*1000))*J40</f>
        <v>0.06943871184339157</v>
      </c>
      <c r="I40" s="198"/>
      <c r="J40" s="124">
        <f>HLOOKUP($C$4,$P$14:$AG$67,A40)</f>
        <v>0.3</v>
      </c>
      <c r="K40" s="137"/>
      <c r="L40" s="133">
        <v>0.01</v>
      </c>
      <c r="M40" s="70"/>
      <c r="N40" s="70"/>
      <c r="O40" s="138"/>
      <c r="P40" s="181">
        <v>0.3</v>
      </c>
      <c r="Q40" s="186">
        <f>P40</f>
        <v>0.3</v>
      </c>
      <c r="R40" s="188">
        <f>Q40</f>
        <v>0.3</v>
      </c>
      <c r="S40" s="188">
        <f>R40</f>
        <v>0.3</v>
      </c>
      <c r="T40" s="189">
        <f>S40</f>
        <v>0.3</v>
      </c>
      <c r="U40" s="194">
        <v>0.95</v>
      </c>
      <c r="V40" s="186">
        <f>U40</f>
        <v>0.95</v>
      </c>
      <c r="W40" s="188">
        <f>V40</f>
        <v>0.95</v>
      </c>
      <c r="X40" s="183">
        <f>W40</f>
        <v>0.95</v>
      </c>
      <c r="Y40" s="188">
        <f>X40</f>
        <v>0.95</v>
      </c>
      <c r="Z40" s="188">
        <f>Y40</f>
        <v>0.95</v>
      </c>
      <c r="AA40" s="189">
        <f>Z40</f>
        <v>0.95</v>
      </c>
      <c r="AB40" s="194">
        <v>1.82</v>
      </c>
      <c r="AC40" s="193">
        <f>AB40</f>
        <v>1.82</v>
      </c>
      <c r="AD40" s="194">
        <v>3.52</v>
      </c>
      <c r="AE40" s="186">
        <f>AD40</f>
        <v>3.52</v>
      </c>
      <c r="AF40" s="188">
        <f>AE40</f>
        <v>3.52</v>
      </c>
      <c r="AG40" s="188">
        <f>AF40</f>
        <v>3.52</v>
      </c>
      <c r="AH40" t="s" s="74">
        <v>138</v>
      </c>
      <c r="AI40" s="133"/>
      <c r="AJ40" s="133"/>
      <c r="AK40" s="133"/>
      <c r="AL40" s="133"/>
      <c r="AM40" s="133"/>
    </row>
    <row r="41" ht="19" customHeight="1">
      <c r="A41" s="119">
        <v>28</v>
      </c>
      <c r="B41" t="s" s="91">
        <v>80</v>
      </c>
      <c r="C41" s="141"/>
      <c r="D41" s="70"/>
      <c r="E41" s="207">
        <f>H41</f>
        <v>0.05943871184339157</v>
      </c>
      <c r="F41" s="104"/>
      <c r="G41" s="134"/>
      <c r="H41" s="180">
        <f>$C$3*(1/($C$9*1000))*J41</f>
        <v>0.05943871184339157</v>
      </c>
      <c r="I41" s="136"/>
      <c r="J41" s="124">
        <f>HLOOKUP($C$4,$P$14:$AG$67,A41)</f>
        <v>0.3</v>
      </c>
      <c r="K41" s="137"/>
      <c r="L41" s="70"/>
      <c r="M41" s="70"/>
      <c r="N41" s="70"/>
      <c r="O41" s="138"/>
      <c r="P41" s="181">
        <v>0.3</v>
      </c>
      <c r="Q41" s="186">
        <f>P41</f>
        <v>0.3</v>
      </c>
      <c r="R41" s="188">
        <f>Q41</f>
        <v>0.3</v>
      </c>
      <c r="S41" s="188">
        <f>R41</f>
        <v>0.3</v>
      </c>
      <c r="T41" s="188">
        <f>S41</f>
        <v>0.3</v>
      </c>
      <c r="U41" s="184">
        <f>T41</f>
        <v>0.3</v>
      </c>
      <c r="V41" s="188">
        <f>U41</f>
        <v>0.3</v>
      </c>
      <c r="W41" s="188">
        <f>V41</f>
        <v>0.3</v>
      </c>
      <c r="X41" s="188">
        <f>W41</f>
        <v>0.3</v>
      </c>
      <c r="Y41" s="188">
        <f>X41</f>
        <v>0.3</v>
      </c>
      <c r="Z41" s="188">
        <f>Y41</f>
        <v>0.3</v>
      </c>
      <c r="AA41" s="188">
        <f>Z41</f>
        <v>0.3</v>
      </c>
      <c r="AB41" s="183">
        <f>AA41</f>
        <v>0.3</v>
      </c>
      <c r="AC41" s="188">
        <f>AB41</f>
        <v>0.3</v>
      </c>
      <c r="AD41" s="183">
        <f>AC41</f>
        <v>0.3</v>
      </c>
      <c r="AE41" s="188">
        <f>AD41</f>
        <v>0.3</v>
      </c>
      <c r="AF41" s="188">
        <f>AE41</f>
        <v>0.3</v>
      </c>
      <c r="AG41" s="188">
        <f>AF41</f>
        <v>0.3</v>
      </c>
      <c r="AH41" s="133"/>
      <c r="AI41" s="133"/>
      <c r="AJ41" s="133"/>
      <c r="AK41" s="133"/>
      <c r="AL41" s="133"/>
      <c r="AM41" s="133"/>
    </row>
    <row r="42" ht="19" customHeight="1">
      <c r="A42" s="119">
        <v>29</v>
      </c>
      <c r="B42" t="s" s="91">
        <v>81</v>
      </c>
      <c r="C42" s="141"/>
      <c r="D42" s="167"/>
      <c r="E42" t="s" s="208">
        <f>F42</f>
        <v>126</v>
      </c>
      <c r="F42" t="s" s="209">
        <v>126</v>
      </c>
      <c r="G42" s="134"/>
      <c r="H42" s="180">
        <f>IF(J42="CONTROL","CONTROL",$C$3*(1/($C$9*1000))*J42)</f>
        <v>0.06934516381729017</v>
      </c>
      <c r="I42" s="136"/>
      <c r="J42" s="124">
        <f>HLOOKUP($C$4,$P$14:$AG$67,A42)</f>
        <v>0.35</v>
      </c>
      <c r="K42" s="137"/>
      <c r="L42" s="70"/>
      <c r="M42" s="70"/>
      <c r="N42" s="70"/>
      <c r="O42" s="138"/>
      <c r="P42" s="181">
        <v>0.35</v>
      </c>
      <c r="Q42" s="186">
        <f>P42</f>
        <v>0.35</v>
      </c>
      <c r="R42" s="188">
        <f>Q42</f>
        <v>0.35</v>
      </c>
      <c r="S42" s="188">
        <f>R42</f>
        <v>0.35</v>
      </c>
      <c r="T42" s="189">
        <f>S42</f>
        <v>0.35</v>
      </c>
      <c r="U42" t="s" s="190">
        <v>126</v>
      </c>
      <c r="V42" t="s" s="191">
        <f>U42</f>
        <v>126</v>
      </c>
      <c r="W42" t="s" s="192">
        <f>V42</f>
        <v>126</v>
      </c>
      <c r="X42" t="s" s="210">
        <f>W42</f>
        <v>126</v>
      </c>
      <c r="Y42" t="s" s="192">
        <f>X42</f>
        <v>126</v>
      </c>
      <c r="Z42" t="s" s="192">
        <f>Y42</f>
        <v>126</v>
      </c>
      <c r="AA42" t="s" s="192">
        <f>Z42</f>
        <v>126</v>
      </c>
      <c r="AB42" t="s" s="192">
        <f>AA42</f>
        <v>126</v>
      </c>
      <c r="AC42" t="s" s="192">
        <f>AB42</f>
        <v>126</v>
      </c>
      <c r="AD42" t="s" s="192">
        <f>AC42</f>
        <v>126</v>
      </c>
      <c r="AE42" t="s" s="192">
        <f>AD42</f>
        <v>126</v>
      </c>
      <c r="AF42" t="s" s="192">
        <f>AE42</f>
        <v>126</v>
      </c>
      <c r="AG42" t="s" s="192">
        <f>AF42</f>
        <v>126</v>
      </c>
      <c r="AH42" s="133"/>
      <c r="AI42" s="133"/>
      <c r="AJ42" s="133"/>
      <c r="AK42" s="133"/>
      <c r="AL42" s="133"/>
      <c r="AM42" s="133"/>
    </row>
    <row r="43" ht="19" customHeight="1">
      <c r="A43" s="119">
        <v>30</v>
      </c>
      <c r="B43" t="s" s="91">
        <v>82</v>
      </c>
      <c r="C43" s="141"/>
      <c r="D43" s="70"/>
      <c r="E43" s="179">
        <f>H43</f>
        <v>0.8731076909375595</v>
      </c>
      <c r="F43" s="70"/>
      <c r="G43" s="134"/>
      <c r="H43" s="180">
        <f>IF(J43="CONTROL","CONTROL",$C$6*N43+$C$3*(1/($C$9*1000))*J43)</f>
        <v>0.8731076909375595</v>
      </c>
      <c r="I43" s="136"/>
      <c r="J43" s="124">
        <f>HLOOKUP($C$4,$P$14:$AG$67,A43)</f>
        <v>1.06</v>
      </c>
      <c r="K43" s="137"/>
      <c r="L43" s="70"/>
      <c r="M43" s="70"/>
      <c r="N43" s="79">
        <v>0.07000000000000001</v>
      </c>
      <c r="O43" s="138"/>
      <c r="P43" s="181">
        <v>1.06</v>
      </c>
      <c r="Q43" s="186">
        <f>P43</f>
        <v>1.06</v>
      </c>
      <c r="R43" s="188">
        <f>Q43</f>
        <v>1.06</v>
      </c>
      <c r="S43" s="188">
        <f>R43</f>
        <v>1.06</v>
      </c>
      <c r="T43" s="188">
        <f>S43</f>
        <v>1.06</v>
      </c>
      <c r="U43" s="183">
        <f>T43</f>
        <v>1.06</v>
      </c>
      <c r="V43" s="188">
        <f>U43</f>
        <v>1.06</v>
      </c>
      <c r="W43" s="189">
        <f>V43</f>
        <v>1.06</v>
      </c>
      <c r="X43" t="s" s="190">
        <v>126</v>
      </c>
      <c r="Y43" t="s" s="206">
        <f>X43</f>
        <v>126</v>
      </c>
      <c r="Z43" t="s" s="192">
        <f>Y43</f>
        <v>126</v>
      </c>
      <c r="AA43" t="s" s="192">
        <f>Z43</f>
        <v>126</v>
      </c>
      <c r="AB43" t="s" s="192">
        <f>AA43</f>
        <v>126</v>
      </c>
      <c r="AC43" t="s" s="192">
        <f>AB43</f>
        <v>126</v>
      </c>
      <c r="AD43" t="s" s="192">
        <f>AC43</f>
        <v>126</v>
      </c>
      <c r="AE43" t="s" s="192">
        <f>AD43</f>
        <v>126</v>
      </c>
      <c r="AF43" t="s" s="192">
        <f>AE43</f>
        <v>126</v>
      </c>
      <c r="AG43" t="s" s="192">
        <f>AF43</f>
        <v>126</v>
      </c>
      <c r="AH43" s="133"/>
      <c r="AI43" s="133"/>
      <c r="AJ43" s="133"/>
      <c r="AK43" s="133"/>
      <c r="AL43" s="133"/>
      <c r="AM43" s="133"/>
    </row>
    <row r="44" ht="19" customHeight="1">
      <c r="A44" s="119">
        <v>31</v>
      </c>
      <c r="B44" t="s" s="91">
        <v>83</v>
      </c>
      <c r="C44" s="141"/>
      <c r="D44" s="70"/>
      <c r="E44" s="195">
        <f>H44</f>
        <v>0.1565219411875978</v>
      </c>
      <c r="F44" s="96"/>
      <c r="G44" s="134"/>
      <c r="H44" s="180">
        <f>$C$3*(1/($C$9*1000))*J44</f>
        <v>0.1565219411875978</v>
      </c>
      <c r="I44" s="136"/>
      <c r="J44" s="124">
        <f>HLOOKUP($C$4,$P$14:$AG$67,A44)</f>
        <v>0.79</v>
      </c>
      <c r="K44" s="137"/>
      <c r="L44" s="70"/>
      <c r="M44" s="70"/>
      <c r="N44" s="70"/>
      <c r="O44" s="138"/>
      <c r="P44" s="181">
        <v>0.79</v>
      </c>
      <c r="Q44" s="186">
        <f>P44</f>
        <v>0.79</v>
      </c>
      <c r="R44" s="188">
        <f>Q44</f>
        <v>0.79</v>
      </c>
      <c r="S44" s="188">
        <f>R44</f>
        <v>0.79</v>
      </c>
      <c r="T44" s="188">
        <f>S44</f>
        <v>0.79</v>
      </c>
      <c r="U44" s="188">
        <f>T44</f>
        <v>0.79</v>
      </c>
      <c r="V44" s="188">
        <f>U44</f>
        <v>0.79</v>
      </c>
      <c r="W44" s="188">
        <f>V44</f>
        <v>0.79</v>
      </c>
      <c r="X44" s="205">
        <f>W44</f>
        <v>0.79</v>
      </c>
      <c r="Y44" s="194">
        <v>0.91</v>
      </c>
      <c r="Z44" s="186">
        <f>Y44</f>
        <v>0.91</v>
      </c>
      <c r="AA44" s="188">
        <f>Z44</f>
        <v>0.91</v>
      </c>
      <c r="AB44" s="188">
        <f>AA44</f>
        <v>0.91</v>
      </c>
      <c r="AC44" s="188">
        <f>AB44</f>
        <v>0.91</v>
      </c>
      <c r="AD44" s="188">
        <f>AC44</f>
        <v>0.91</v>
      </c>
      <c r="AE44" s="188">
        <f>AD44</f>
        <v>0.91</v>
      </c>
      <c r="AF44" s="188">
        <f>AE44</f>
        <v>0.91</v>
      </c>
      <c r="AG44" s="188">
        <f>AF44</f>
        <v>0.91</v>
      </c>
      <c r="AH44" s="133"/>
      <c r="AI44" s="133"/>
      <c r="AJ44" s="133"/>
      <c r="AK44" s="133"/>
      <c r="AL44" s="133"/>
      <c r="AM44" s="133"/>
    </row>
    <row r="45" ht="19" customHeight="1">
      <c r="A45" s="119">
        <v>32</v>
      </c>
      <c r="B45" t="s" s="91">
        <v>84</v>
      </c>
      <c r="C45" s="141"/>
      <c r="D45" s="134"/>
      <c r="E45" s="180">
        <f>$C$3*(1/($C$9*1000))*F45</f>
        <v>0.1981290394779719</v>
      </c>
      <c r="F45" s="196">
        <v>1</v>
      </c>
      <c r="G45" s="197"/>
      <c r="H45" s="180">
        <f>$C$3*(1/($C$9*1000))*J45</f>
        <v>0.09906451973898596</v>
      </c>
      <c r="I45" s="198"/>
      <c r="J45" s="124">
        <f>HLOOKUP($C$4,$P$14:$AG$67,A45)</f>
        <v>0.5</v>
      </c>
      <c r="K45" s="137"/>
      <c r="L45" s="70"/>
      <c r="M45" s="70"/>
      <c r="N45" s="70"/>
      <c r="O45" s="138"/>
      <c r="P45" s="181">
        <v>0.5</v>
      </c>
      <c r="Q45" s="186">
        <f>P45</f>
        <v>0.5</v>
      </c>
      <c r="R45" s="188">
        <f>Q45</f>
        <v>0.5</v>
      </c>
      <c r="S45" s="188">
        <f>R45</f>
        <v>0.5</v>
      </c>
      <c r="T45" s="188">
        <f>S45</f>
        <v>0.5</v>
      </c>
      <c r="U45" s="188">
        <f>T45</f>
        <v>0.5</v>
      </c>
      <c r="V45" s="188">
        <f>U45</f>
        <v>0.5</v>
      </c>
      <c r="W45" s="188">
        <f>V45</f>
        <v>0.5</v>
      </c>
      <c r="X45" s="189">
        <f>W45</f>
        <v>0.5</v>
      </c>
      <c r="Y45" s="194">
        <v>0.6</v>
      </c>
      <c r="Z45" s="186">
        <f>Y45</f>
        <v>0.6</v>
      </c>
      <c r="AA45" s="188">
        <f>Z45</f>
        <v>0.6</v>
      </c>
      <c r="AB45" s="188">
        <f>AA45</f>
        <v>0.6</v>
      </c>
      <c r="AC45" s="188">
        <f>AB45</f>
        <v>0.6</v>
      </c>
      <c r="AD45" s="188">
        <f>AC45</f>
        <v>0.6</v>
      </c>
      <c r="AE45" s="188">
        <f>AD45</f>
        <v>0.6</v>
      </c>
      <c r="AF45" s="188">
        <f>AE45</f>
        <v>0.6</v>
      </c>
      <c r="AG45" s="188">
        <f>AF45</f>
        <v>0.6</v>
      </c>
      <c r="AH45" s="133"/>
      <c r="AI45" s="133"/>
      <c r="AJ45" s="133"/>
      <c r="AK45" s="133"/>
      <c r="AL45" s="133"/>
      <c r="AM45" s="133"/>
    </row>
    <row r="46" ht="19" customHeight="1">
      <c r="A46" s="119">
        <v>33</v>
      </c>
      <c r="B46" t="s" s="91">
        <v>85</v>
      </c>
      <c r="C46" s="141"/>
      <c r="D46" s="70"/>
      <c r="E46" s="201">
        <f>H46</f>
        <v>0.1882225875040733</v>
      </c>
      <c r="F46" s="104"/>
      <c r="G46" s="134"/>
      <c r="H46" s="180">
        <f>$C$3*(1/($C$9*1000))*J46</f>
        <v>0.1882225875040733</v>
      </c>
      <c r="I46" s="136"/>
      <c r="J46" s="124">
        <f>HLOOKUP($C$4,$P$14:$AG$67,A46)</f>
        <v>0.95</v>
      </c>
      <c r="K46" s="137"/>
      <c r="L46" s="70"/>
      <c r="M46" s="70"/>
      <c r="N46" s="70"/>
      <c r="O46" s="138"/>
      <c r="P46" s="181">
        <v>0.95</v>
      </c>
      <c r="Q46" s="204">
        <f>P46</f>
        <v>0.95</v>
      </c>
      <c r="R46" s="187">
        <f>Q46</f>
        <v>0.95</v>
      </c>
      <c r="S46" s="187">
        <f>R46</f>
        <v>0.95</v>
      </c>
      <c r="T46" s="187">
        <f>S46</f>
        <v>0.95</v>
      </c>
      <c r="U46" s="187">
        <f>T46</f>
        <v>0.95</v>
      </c>
      <c r="V46" s="187">
        <f>U46</f>
        <v>0.95</v>
      </c>
      <c r="W46" s="187">
        <f>V46</f>
        <v>0.95</v>
      </c>
      <c r="X46" s="187">
        <f>W46</f>
        <v>0.95</v>
      </c>
      <c r="Y46" s="184">
        <f>X46</f>
        <v>0.95</v>
      </c>
      <c r="Z46" s="187">
        <f>Y46</f>
        <v>0.95</v>
      </c>
      <c r="AA46" s="187">
        <f>Z46</f>
        <v>0.95</v>
      </c>
      <c r="AB46" s="187">
        <f>AA46</f>
        <v>0.95</v>
      </c>
      <c r="AC46" s="187">
        <f>AB46</f>
        <v>0.95</v>
      </c>
      <c r="AD46" s="187">
        <f>AC46</f>
        <v>0.95</v>
      </c>
      <c r="AE46" s="187">
        <f>AD46</f>
        <v>0.95</v>
      </c>
      <c r="AF46" s="187">
        <f>AE46</f>
        <v>0.95</v>
      </c>
      <c r="AG46" s="187">
        <f>AF46</f>
        <v>0.95</v>
      </c>
      <c r="AH46" s="133"/>
      <c r="AI46" s="133"/>
      <c r="AJ46" s="133"/>
      <c r="AK46" s="133"/>
      <c r="AL46" s="133"/>
      <c r="AM46" s="133"/>
    </row>
    <row r="47" ht="19" customHeight="1">
      <c r="A47" s="119">
        <v>34</v>
      </c>
      <c r="B47" t="s" s="91">
        <v>86</v>
      </c>
      <c r="C47" t="s" s="74">
        <v>126</v>
      </c>
      <c r="D47" s="70"/>
      <c r="E47" s="70"/>
      <c r="F47" s="70"/>
      <c r="G47" s="70"/>
      <c r="H47" s="211"/>
      <c r="I47" s="70"/>
      <c r="J47" s="211"/>
      <c r="K47" s="70"/>
      <c r="L47" s="70"/>
      <c r="M47" s="70"/>
      <c r="N47" s="70"/>
      <c r="O47" s="138"/>
      <c r="P47" s="212"/>
      <c r="Q47" s="213"/>
      <c r="R47" s="213"/>
      <c r="S47" s="213"/>
      <c r="T47" s="213"/>
      <c r="U47" s="213"/>
      <c r="V47" s="213"/>
      <c r="W47" s="213"/>
      <c r="X47" s="213"/>
      <c r="Y47" s="213"/>
      <c r="Z47" s="213"/>
      <c r="AA47" s="213"/>
      <c r="AB47" s="213"/>
      <c r="AC47" s="213"/>
      <c r="AD47" s="213"/>
      <c r="AE47" s="213"/>
      <c r="AF47" s="213"/>
      <c r="AG47" s="213"/>
      <c r="AH47" s="150"/>
      <c r="AI47" s="133"/>
      <c r="AJ47" s="133"/>
      <c r="AK47" s="133"/>
      <c r="AL47" s="133"/>
      <c r="AM47" s="133"/>
    </row>
    <row r="48" ht="19" customHeight="1">
      <c r="A48" s="119">
        <v>35</v>
      </c>
      <c r="B48" t="s" s="91">
        <v>87</v>
      </c>
      <c r="C48" s="141"/>
      <c r="D48" s="70"/>
      <c r="E48" s="185">
        <f>H48</f>
        <v>0.1733629095432254</v>
      </c>
      <c r="F48" s="70"/>
      <c r="G48" s="134"/>
      <c r="H48" s="180">
        <f>$C$3*(1/($C$9*1000))*J48</f>
        <v>0.1733629095432254</v>
      </c>
      <c r="I48" s="136"/>
      <c r="J48" s="124">
        <f>HLOOKUP($C$4,$P$14:$AG$67,A48)</f>
        <v>0.875</v>
      </c>
      <c r="K48" s="137"/>
      <c r="L48" s="70"/>
      <c r="M48" s="70"/>
      <c r="N48" s="70"/>
      <c r="O48" s="138"/>
      <c r="P48" s="214">
        <v>0.875</v>
      </c>
      <c r="Q48" s="182">
        <f>P48</f>
        <v>0.875</v>
      </c>
      <c r="R48" s="183">
        <f>Q48</f>
        <v>0.875</v>
      </c>
      <c r="S48" s="183">
        <f>R48</f>
        <v>0.875</v>
      </c>
      <c r="T48" s="183">
        <f>S48</f>
        <v>0.875</v>
      </c>
      <c r="U48" s="184">
        <f>T48</f>
        <v>0.875</v>
      </c>
      <c r="V48" s="183">
        <f>U48</f>
        <v>0.875</v>
      </c>
      <c r="W48" s="183">
        <f>V48</f>
        <v>0.875</v>
      </c>
      <c r="X48" s="183">
        <f>W48</f>
        <v>0.875</v>
      </c>
      <c r="Y48" s="183">
        <f>X48</f>
        <v>0.875</v>
      </c>
      <c r="Z48" s="183">
        <f>Y48</f>
        <v>0.875</v>
      </c>
      <c r="AA48" s="183">
        <f>Z48</f>
        <v>0.875</v>
      </c>
      <c r="AB48" s="183">
        <f>AA48</f>
        <v>0.875</v>
      </c>
      <c r="AC48" s="183">
        <f>AB48</f>
        <v>0.875</v>
      </c>
      <c r="AD48" s="183">
        <f>AC48</f>
        <v>0.875</v>
      </c>
      <c r="AE48" s="183">
        <f>AD48</f>
        <v>0.875</v>
      </c>
      <c r="AF48" s="183">
        <f>AE48</f>
        <v>0.875</v>
      </c>
      <c r="AG48" s="183">
        <f>AF48</f>
        <v>0.875</v>
      </c>
      <c r="AH48" s="133"/>
      <c r="AI48" s="133"/>
      <c r="AJ48" s="133"/>
      <c r="AK48" s="133"/>
      <c r="AL48" s="133"/>
      <c r="AM48" s="133"/>
    </row>
    <row r="49" ht="19" customHeight="1">
      <c r="A49" s="119">
        <v>36</v>
      </c>
      <c r="B49" t="s" s="91">
        <v>88</v>
      </c>
      <c r="C49" s="141"/>
      <c r="D49" s="70"/>
      <c r="E49" s="185">
        <f>H49</f>
        <v>0.3368193671125522</v>
      </c>
      <c r="F49" s="70"/>
      <c r="G49" s="134"/>
      <c r="H49" s="180">
        <f>$C$3*(1/($C$9*1000))*J49</f>
        <v>0.3368193671125522</v>
      </c>
      <c r="I49" s="136"/>
      <c r="J49" s="124">
        <f>HLOOKUP($C$4,$P$14:$AG$67,A49)</f>
        <v>1.7</v>
      </c>
      <c r="K49" s="137"/>
      <c r="L49" s="70"/>
      <c r="M49" s="70"/>
      <c r="N49" s="70"/>
      <c r="O49" s="138"/>
      <c r="P49" s="181">
        <v>1.7</v>
      </c>
      <c r="Q49" s="186">
        <f>P49</f>
        <v>1.7</v>
      </c>
      <c r="R49" s="188">
        <f>Q49</f>
        <v>1.7</v>
      </c>
      <c r="S49" s="188">
        <f>R49</f>
        <v>1.7</v>
      </c>
      <c r="T49" s="189">
        <f>S49</f>
        <v>1.7</v>
      </c>
      <c r="U49" s="194">
        <v>5.68</v>
      </c>
      <c r="V49" s="186">
        <f>U49</f>
        <v>5.68</v>
      </c>
      <c r="W49" s="188">
        <f>V49</f>
        <v>5.68</v>
      </c>
      <c r="X49" s="188">
        <f>W49</f>
        <v>5.68</v>
      </c>
      <c r="Y49" s="188">
        <f>X49</f>
        <v>5.68</v>
      </c>
      <c r="Z49" s="188">
        <f>Y49</f>
        <v>5.68</v>
      </c>
      <c r="AA49" s="188">
        <f>Z49</f>
        <v>5.68</v>
      </c>
      <c r="AB49" s="188">
        <f>AA49</f>
        <v>5.68</v>
      </c>
      <c r="AC49" s="187">
        <f>AB49</f>
        <v>5.68</v>
      </c>
      <c r="AD49" s="188">
        <f>AC49</f>
        <v>5.68</v>
      </c>
      <c r="AE49" s="188">
        <f>AD49</f>
        <v>5.68</v>
      </c>
      <c r="AF49" s="188">
        <f>AE49</f>
        <v>5.68</v>
      </c>
      <c r="AG49" s="188">
        <f>AF49</f>
        <v>5.68</v>
      </c>
      <c r="AH49" s="133"/>
      <c r="AI49" s="133"/>
      <c r="AJ49" s="133"/>
      <c r="AK49" s="133"/>
      <c r="AL49" s="133"/>
      <c r="AM49" s="133"/>
    </row>
    <row r="50" ht="19" customHeight="1">
      <c r="A50" s="119">
        <v>37</v>
      </c>
      <c r="B50" t="s" s="91">
        <v>89</v>
      </c>
      <c r="C50" s="141"/>
      <c r="D50" s="70"/>
      <c r="E50" s="185">
        <f>H50</f>
        <v>0.1386903276345803</v>
      </c>
      <c r="F50" s="70"/>
      <c r="G50" s="134"/>
      <c r="H50" s="180">
        <f>$C$3*(1/($C$9*1000))*J50</f>
        <v>0.1386903276345803</v>
      </c>
      <c r="I50" s="136"/>
      <c r="J50" s="124">
        <f>HLOOKUP($C$4,$P$14:$AG$67,A50)</f>
        <v>0.7</v>
      </c>
      <c r="K50" s="137"/>
      <c r="L50" s="70"/>
      <c r="M50" s="70"/>
      <c r="N50" s="70"/>
      <c r="O50" s="138"/>
      <c r="P50" s="181">
        <v>0.7</v>
      </c>
      <c r="Q50" s="186">
        <f>P50</f>
        <v>0.7</v>
      </c>
      <c r="R50" s="188">
        <f>Q50</f>
        <v>0.7</v>
      </c>
      <c r="S50" s="188">
        <f>R50</f>
        <v>0.7</v>
      </c>
      <c r="T50" s="189">
        <f>S50</f>
        <v>0.7</v>
      </c>
      <c r="U50" s="194">
        <v>1.3</v>
      </c>
      <c r="V50" s="186">
        <f>U50</f>
        <v>1.3</v>
      </c>
      <c r="W50" s="188">
        <f>V50</f>
        <v>1.3</v>
      </c>
      <c r="X50" s="188">
        <f>W50</f>
        <v>1.3</v>
      </c>
      <c r="Y50" s="188">
        <f>X50</f>
        <v>1.3</v>
      </c>
      <c r="Z50" s="188">
        <f>Y50</f>
        <v>1.3</v>
      </c>
      <c r="AA50" s="188">
        <f>Z50</f>
        <v>1.3</v>
      </c>
      <c r="AB50" s="189">
        <f>AA50</f>
        <v>1.3</v>
      </c>
      <c r="AC50" s="194">
        <v>3.6</v>
      </c>
      <c r="AD50" s="186">
        <f>AC50</f>
        <v>3.6</v>
      </c>
      <c r="AE50" s="188">
        <f>AD50</f>
        <v>3.6</v>
      </c>
      <c r="AF50" s="188">
        <f>AE50</f>
        <v>3.6</v>
      </c>
      <c r="AG50" s="188">
        <f>AF50</f>
        <v>3.6</v>
      </c>
      <c r="AH50" s="133"/>
      <c r="AI50" s="133"/>
      <c r="AJ50" s="133"/>
      <c r="AK50" s="133"/>
      <c r="AL50" s="133"/>
      <c r="AM50" s="133"/>
    </row>
    <row r="51" ht="19" customHeight="1">
      <c r="A51" s="119">
        <v>38</v>
      </c>
      <c r="B51" t="s" s="91">
        <v>90</v>
      </c>
      <c r="C51" s="141"/>
      <c r="D51" s="70"/>
      <c r="E51" s="195">
        <f>H51</f>
        <v>0.05943871184339157</v>
      </c>
      <c r="F51" s="96"/>
      <c r="G51" s="134"/>
      <c r="H51" s="180">
        <f>$C$3*(1/($C$9*1000))*J51</f>
        <v>0.05943871184339157</v>
      </c>
      <c r="I51" s="136"/>
      <c r="J51" s="124">
        <f>HLOOKUP($C$4,$P$14:$AG$67,A51)</f>
        <v>0.3</v>
      </c>
      <c r="K51" s="137"/>
      <c r="L51" s="70"/>
      <c r="M51" s="70"/>
      <c r="N51" s="70"/>
      <c r="O51" s="138"/>
      <c r="P51" s="181">
        <v>0.3</v>
      </c>
      <c r="Q51" s="186">
        <f>P51</f>
        <v>0.3</v>
      </c>
      <c r="R51" s="188">
        <f>Q51</f>
        <v>0.3</v>
      </c>
      <c r="S51" s="188">
        <f>R51</f>
        <v>0.3</v>
      </c>
      <c r="T51" s="188">
        <f>S51</f>
        <v>0.3</v>
      </c>
      <c r="U51" s="184">
        <f>T51</f>
        <v>0.3</v>
      </c>
      <c r="V51" s="188">
        <f>U51</f>
        <v>0.3</v>
      </c>
      <c r="W51" s="188">
        <f>V51</f>
        <v>0.3</v>
      </c>
      <c r="X51" s="188">
        <f>W51</f>
        <v>0.3</v>
      </c>
      <c r="Y51" s="188">
        <f>X51</f>
        <v>0.3</v>
      </c>
      <c r="Z51" s="188">
        <f>Y51</f>
        <v>0.3</v>
      </c>
      <c r="AA51" s="188">
        <f>Z51</f>
        <v>0.3</v>
      </c>
      <c r="AB51" s="188">
        <f>AA51</f>
        <v>0.3</v>
      </c>
      <c r="AC51" s="183">
        <f>AB51</f>
        <v>0.3</v>
      </c>
      <c r="AD51" s="188">
        <f>AC51</f>
        <v>0.3</v>
      </c>
      <c r="AE51" s="188">
        <f>AD51</f>
        <v>0.3</v>
      </c>
      <c r="AF51" s="188">
        <f>AE51</f>
        <v>0.3</v>
      </c>
      <c r="AG51" s="188">
        <f>AF51</f>
        <v>0.3</v>
      </c>
      <c r="AH51" s="133"/>
      <c r="AI51" s="133"/>
      <c r="AJ51" s="133"/>
      <c r="AK51" s="133"/>
      <c r="AL51" s="133"/>
      <c r="AM51" s="133"/>
    </row>
    <row r="52" ht="19" customHeight="1">
      <c r="A52" s="119">
        <v>39</v>
      </c>
      <c r="B52" t="s" s="91">
        <v>92</v>
      </c>
      <c r="C52" s="141"/>
      <c r="D52" s="134"/>
      <c r="E52" s="180">
        <f>$C$3*(1/($C$9*1000))*(F52+O52)</f>
        <v>0.3328567863229928</v>
      </c>
      <c r="F52" s="196">
        <v>1.48</v>
      </c>
      <c r="G52" s="197"/>
      <c r="H52" s="180">
        <f>$C$3*(1/($C$9*1000))*J52</f>
        <v>0.09906451973898596</v>
      </c>
      <c r="I52" s="198"/>
      <c r="J52" s="124">
        <f>HLOOKUP($C$4,$P$14:$AG$67,A52)+O52</f>
        <v>0.5</v>
      </c>
      <c r="K52" s="137"/>
      <c r="L52" s="70"/>
      <c r="M52" s="70"/>
      <c r="N52" s="70"/>
      <c r="O52" s="151">
        <v>0.2</v>
      </c>
      <c r="P52" s="181">
        <v>0.3</v>
      </c>
      <c r="Q52" s="186">
        <f>P52</f>
        <v>0.3</v>
      </c>
      <c r="R52" s="188">
        <f>Q52</f>
        <v>0.3</v>
      </c>
      <c r="S52" s="188">
        <f>R52</f>
        <v>0.3</v>
      </c>
      <c r="T52" s="189">
        <f>S52</f>
        <v>0.3</v>
      </c>
      <c r="U52" s="194">
        <v>0.98</v>
      </c>
      <c r="V52" s="186">
        <f>U52</f>
        <v>0.98</v>
      </c>
      <c r="W52" s="188">
        <f>V52</f>
        <v>0.98</v>
      </c>
      <c r="X52" s="188">
        <f>W52</f>
        <v>0.98</v>
      </c>
      <c r="Y52" s="188">
        <f>X52</f>
        <v>0.98</v>
      </c>
      <c r="Z52" s="188">
        <f>Y52</f>
        <v>0.98</v>
      </c>
      <c r="AA52" s="188">
        <f>Z52</f>
        <v>0.98</v>
      </c>
      <c r="AB52" s="188">
        <f>AA52</f>
        <v>0.98</v>
      </c>
      <c r="AC52" s="188">
        <f>AB52</f>
        <v>0.98</v>
      </c>
      <c r="AD52" s="188">
        <f>AC52</f>
        <v>0.98</v>
      </c>
      <c r="AE52" s="188">
        <f>AD52</f>
        <v>0.98</v>
      </c>
      <c r="AF52" s="188">
        <f>AE52</f>
        <v>0.98</v>
      </c>
      <c r="AG52" s="188">
        <f>AF52</f>
        <v>0.98</v>
      </c>
      <c r="AH52" t="s" s="74">
        <v>139</v>
      </c>
      <c r="AI52" s="133"/>
      <c r="AJ52" s="133"/>
      <c r="AK52" s="133"/>
      <c r="AL52" s="133"/>
      <c r="AM52" s="133"/>
    </row>
    <row r="53" ht="19" customHeight="1">
      <c r="A53" s="119">
        <v>40</v>
      </c>
      <c r="B53" t="s" s="91">
        <v>93</v>
      </c>
      <c r="C53" s="141"/>
      <c r="D53" s="134"/>
      <c r="E53" s="180">
        <f>$C$3*(1/($C$9*1000))*F53</f>
        <v>0.4121084021141816</v>
      </c>
      <c r="F53" s="196">
        <v>2.08</v>
      </c>
      <c r="G53" s="197"/>
      <c r="H53" s="180">
        <f>$C$3*(1/($C$9*1000))*J53</f>
        <v>0.1426529084241398</v>
      </c>
      <c r="I53" s="198"/>
      <c r="J53" s="124">
        <f>HLOOKUP($C$4,$P$14:$AG$67,A53)</f>
        <v>0.72</v>
      </c>
      <c r="K53" s="137"/>
      <c r="L53" s="70"/>
      <c r="M53" s="70"/>
      <c r="N53" s="70"/>
      <c r="O53" s="138"/>
      <c r="P53" s="181">
        <v>0.72</v>
      </c>
      <c r="Q53" s="186">
        <f>P53</f>
        <v>0.72</v>
      </c>
      <c r="R53" s="188">
        <f>Q53</f>
        <v>0.72</v>
      </c>
      <c r="S53" s="188">
        <f>R53</f>
        <v>0.72</v>
      </c>
      <c r="T53" s="189">
        <f>S53</f>
        <v>0.72</v>
      </c>
      <c r="U53" s="194">
        <v>1.4</v>
      </c>
      <c r="V53" s="186">
        <f>U53</f>
        <v>1.4</v>
      </c>
      <c r="W53" s="188">
        <f>V53</f>
        <v>1.4</v>
      </c>
      <c r="X53" s="188">
        <f>W53</f>
        <v>1.4</v>
      </c>
      <c r="Y53" s="188">
        <f>X53</f>
        <v>1.4</v>
      </c>
      <c r="Z53" s="188">
        <f>Y53</f>
        <v>1.4</v>
      </c>
      <c r="AA53" s="188">
        <f>Z53</f>
        <v>1.4</v>
      </c>
      <c r="AB53" s="188">
        <f>AA53</f>
        <v>1.4</v>
      </c>
      <c r="AC53" s="188">
        <f>AB53</f>
        <v>1.4</v>
      </c>
      <c r="AD53" s="188">
        <f>AC53</f>
        <v>1.4</v>
      </c>
      <c r="AE53" s="188">
        <f>AD53</f>
        <v>1.4</v>
      </c>
      <c r="AF53" s="188">
        <f>AE53</f>
        <v>1.4</v>
      </c>
      <c r="AG53" s="188">
        <f>AF53</f>
        <v>1.4</v>
      </c>
      <c r="AH53" s="133"/>
      <c r="AI53" s="133"/>
      <c r="AJ53" s="133"/>
      <c r="AK53" s="133"/>
      <c r="AL53" s="133"/>
      <c r="AM53" s="133"/>
    </row>
    <row r="54" ht="19" customHeight="1">
      <c r="A54" s="119">
        <v>41</v>
      </c>
      <c r="B54" t="s" s="91">
        <v>94</v>
      </c>
      <c r="C54" s="141"/>
      <c r="D54" s="70"/>
      <c r="E54" s="201">
        <f>H54</f>
        <v>0.1327464564502412</v>
      </c>
      <c r="F54" s="104"/>
      <c r="G54" s="134"/>
      <c r="H54" s="180">
        <f>$C$3*(1/($C$9*1000))*J54</f>
        <v>0.1327464564502412</v>
      </c>
      <c r="I54" s="136"/>
      <c r="J54" s="124">
        <f>HLOOKUP($C$4,$P$14:$AG$67,A54)</f>
        <v>0.67</v>
      </c>
      <c r="K54" s="137"/>
      <c r="L54" s="70"/>
      <c r="M54" s="70"/>
      <c r="N54" s="70"/>
      <c r="O54" s="138"/>
      <c r="P54" s="181">
        <v>0.67</v>
      </c>
      <c r="Q54" s="204">
        <f>P54</f>
        <v>0.67</v>
      </c>
      <c r="R54" s="187">
        <f>Q54</f>
        <v>0.67</v>
      </c>
      <c r="S54" s="187">
        <f>R54</f>
        <v>0.67</v>
      </c>
      <c r="T54" s="215">
        <f>S54</f>
        <v>0.67</v>
      </c>
      <c r="U54" s="194">
        <v>0.77</v>
      </c>
      <c r="V54" s="204">
        <f>U54</f>
        <v>0.77</v>
      </c>
      <c r="W54" s="187">
        <f>V54</f>
        <v>0.77</v>
      </c>
      <c r="X54" s="187">
        <f>W54</f>
        <v>0.77</v>
      </c>
      <c r="Y54" s="187">
        <f>X54</f>
        <v>0.77</v>
      </c>
      <c r="Z54" s="187">
        <f>Y54</f>
        <v>0.77</v>
      </c>
      <c r="AA54" s="187">
        <f>Z54</f>
        <v>0.77</v>
      </c>
      <c r="AB54" s="187">
        <f>AA54</f>
        <v>0.77</v>
      </c>
      <c r="AC54" s="187">
        <f>AB54</f>
        <v>0.77</v>
      </c>
      <c r="AD54" s="187">
        <f>AC54</f>
        <v>0.77</v>
      </c>
      <c r="AE54" s="187">
        <f>AD54</f>
        <v>0.77</v>
      </c>
      <c r="AF54" s="187">
        <f>AE54</f>
        <v>0.77</v>
      </c>
      <c r="AG54" s="187">
        <f>AF54</f>
        <v>0.77</v>
      </c>
      <c r="AH54" s="133"/>
      <c r="AI54" s="133"/>
      <c r="AJ54" s="133"/>
      <c r="AK54" s="133"/>
      <c r="AL54" s="133"/>
      <c r="AM54" s="133"/>
    </row>
    <row r="55" ht="19" customHeight="1">
      <c r="A55" s="119">
        <v>42</v>
      </c>
      <c r="B55" t="s" s="91">
        <v>95</v>
      </c>
      <c r="C55" t="s" s="74">
        <v>126</v>
      </c>
      <c r="D55" s="70"/>
      <c r="E55" s="216"/>
      <c r="F55" s="96"/>
      <c r="G55" s="70"/>
      <c r="H55" s="211"/>
      <c r="I55" s="70"/>
      <c r="J55" s="211"/>
      <c r="K55" s="70"/>
      <c r="L55" s="70"/>
      <c r="M55" s="70"/>
      <c r="N55" s="70"/>
      <c r="O55" s="138"/>
      <c r="P55" s="212"/>
      <c r="Q55" s="213"/>
      <c r="R55" s="213"/>
      <c r="S55" s="213"/>
      <c r="T55" s="213"/>
      <c r="U55" s="213"/>
      <c r="V55" s="213"/>
      <c r="W55" s="213"/>
      <c r="X55" s="213"/>
      <c r="Y55" s="213"/>
      <c r="Z55" s="213"/>
      <c r="AA55" s="213"/>
      <c r="AB55" s="213"/>
      <c r="AC55" s="213"/>
      <c r="AD55" s="213"/>
      <c r="AE55" s="213"/>
      <c r="AF55" s="213"/>
      <c r="AG55" s="213"/>
      <c r="AH55" s="150"/>
      <c r="AI55" s="133"/>
      <c r="AJ55" s="133"/>
      <c r="AK55" s="133"/>
      <c r="AL55" s="133"/>
      <c r="AM55" s="133"/>
    </row>
    <row r="56" ht="19" customHeight="1">
      <c r="A56" s="119">
        <v>43</v>
      </c>
      <c r="B56" t="s" s="91">
        <v>96</v>
      </c>
      <c r="C56" s="141"/>
      <c r="D56" s="134"/>
      <c r="E56" s="180">
        <f>$C$3*(1/($C$9*1000))*F56</f>
        <v>0.1485967796084789</v>
      </c>
      <c r="F56" s="196">
        <v>0.75</v>
      </c>
      <c r="G56" s="197"/>
      <c r="H56" s="180">
        <f>$C$3*(1/($C$9*1000))*J56</f>
        <v>0.1188774236867831</v>
      </c>
      <c r="I56" s="198"/>
      <c r="J56" s="124">
        <f>HLOOKUP($C$4,$P$14:$AG$67,A56)</f>
        <v>0.6</v>
      </c>
      <c r="K56" s="137"/>
      <c r="L56" s="70"/>
      <c r="M56" s="70"/>
      <c r="N56" s="70"/>
      <c r="O56" s="138"/>
      <c r="P56" s="181">
        <v>0.6</v>
      </c>
      <c r="Q56" s="182">
        <f>P56</f>
        <v>0.6</v>
      </c>
      <c r="R56" s="183">
        <f>Q56</f>
        <v>0.6</v>
      </c>
      <c r="S56" s="183">
        <f>R56</f>
        <v>0.6</v>
      </c>
      <c r="T56" s="183">
        <f>S56</f>
        <v>0.6</v>
      </c>
      <c r="U56" s="183">
        <f>T56</f>
        <v>0.6</v>
      </c>
      <c r="V56" s="183">
        <f>U56</f>
        <v>0.6</v>
      </c>
      <c r="W56" s="183">
        <f>V56</f>
        <v>0.6</v>
      </c>
      <c r="X56" s="183">
        <f>W56</f>
        <v>0.6</v>
      </c>
      <c r="Y56" s="183">
        <f>X56</f>
        <v>0.6</v>
      </c>
      <c r="Z56" s="183">
        <f>Y56</f>
        <v>0.6</v>
      </c>
      <c r="AA56" s="183">
        <f>Z56</f>
        <v>0.6</v>
      </c>
      <c r="AB56" s="183">
        <f>AA56</f>
        <v>0.6</v>
      </c>
      <c r="AC56" s="183">
        <f>AB56</f>
        <v>0.6</v>
      </c>
      <c r="AD56" s="183">
        <f>AC56</f>
        <v>0.6</v>
      </c>
      <c r="AE56" s="183">
        <f>AD56</f>
        <v>0.6</v>
      </c>
      <c r="AF56" s="183">
        <f>AE56</f>
        <v>0.6</v>
      </c>
      <c r="AG56" s="183">
        <f>AF56</f>
        <v>0.6</v>
      </c>
      <c r="AH56" s="133"/>
      <c r="AI56" s="133"/>
      <c r="AJ56" s="133"/>
      <c r="AK56" s="133"/>
      <c r="AL56" s="133"/>
      <c r="AM56" s="133"/>
    </row>
    <row r="57" ht="19" customHeight="1">
      <c r="A57" s="119">
        <v>44</v>
      </c>
      <c r="B57" t="s" s="91">
        <v>97</v>
      </c>
      <c r="C57" s="141"/>
      <c r="D57" s="70"/>
      <c r="E57" s="199">
        <f>H57</f>
        <v>0.2139793626362097</v>
      </c>
      <c r="F57" s="200"/>
      <c r="G57" s="134"/>
      <c r="H57" s="180">
        <f>$C$3*(1/($C$9*1000))*J57</f>
        <v>0.2139793626362097</v>
      </c>
      <c r="I57" s="136"/>
      <c r="J57" s="124">
        <f>HLOOKUP($C$4,$P$14:$AG$67,A57)+O57</f>
        <v>1.08</v>
      </c>
      <c r="K57" s="137"/>
      <c r="L57" s="70"/>
      <c r="M57" s="162"/>
      <c r="N57" s="79"/>
      <c r="O57" s="151">
        <v>0.18</v>
      </c>
      <c r="P57" s="181">
        <v>0.9</v>
      </c>
      <c r="Q57" s="186">
        <f>P57</f>
        <v>0.9</v>
      </c>
      <c r="R57" s="188">
        <f>Q57</f>
        <v>0.9</v>
      </c>
      <c r="S57" s="188">
        <f>R57</f>
        <v>0.9</v>
      </c>
      <c r="T57" s="188">
        <f>S57</f>
        <v>0.9</v>
      </c>
      <c r="U57" s="187">
        <f>T57</f>
        <v>0.9</v>
      </c>
      <c r="V57" s="188">
        <f>U57</f>
        <v>0.9</v>
      </c>
      <c r="W57" s="188">
        <f>V57</f>
        <v>0.9</v>
      </c>
      <c r="X57" s="188">
        <f>W57</f>
        <v>0.9</v>
      </c>
      <c r="Y57" s="188">
        <f>X57</f>
        <v>0.9</v>
      </c>
      <c r="Z57" s="188">
        <f>Y57</f>
        <v>0.9</v>
      </c>
      <c r="AA57" s="188">
        <f>Z57</f>
        <v>0.9</v>
      </c>
      <c r="AB57" s="187">
        <f>AA57</f>
        <v>0.9</v>
      </c>
      <c r="AC57" s="188">
        <f>AB57</f>
        <v>0.9</v>
      </c>
      <c r="AD57" s="188">
        <f>AC57</f>
        <v>0.9</v>
      </c>
      <c r="AE57" s="188">
        <f>AD57</f>
        <v>0.9</v>
      </c>
      <c r="AF57" s="188">
        <f>AE57</f>
        <v>0.9</v>
      </c>
      <c r="AG57" s="188">
        <f>AF57</f>
        <v>0.9</v>
      </c>
      <c r="AH57" s="133"/>
      <c r="AI57" s="133"/>
      <c r="AJ57" s="133"/>
      <c r="AK57" s="133"/>
      <c r="AL57" s="133"/>
      <c r="AM57" s="133"/>
    </row>
    <row r="58" ht="19" customHeight="1">
      <c r="A58" s="119">
        <v>45</v>
      </c>
      <c r="B58" t="s" s="91">
        <v>98</v>
      </c>
      <c r="C58" s="141"/>
      <c r="D58" s="134"/>
      <c r="E58" s="180">
        <f>$C$3*(1/($C$9*1000))*F58+(N58*C6)</f>
        <v>0.5995816571739473</v>
      </c>
      <c r="F58" s="196">
        <v>2.07</v>
      </c>
      <c r="G58" s="197"/>
      <c r="H58" s="180">
        <f>$C$6*N58+$C$3*(1/($C$9*1000))*J58</f>
        <v>0.3737145521690594</v>
      </c>
      <c r="I58" s="198"/>
      <c r="J58" s="124">
        <f>HLOOKUP($C$4,$P$14:$AG$67,A58)</f>
        <v>0.93</v>
      </c>
      <c r="K58" s="137"/>
      <c r="L58" s="70"/>
      <c r="M58" s="70"/>
      <c r="N58" s="79">
        <v>0.02</v>
      </c>
      <c r="O58" s="138"/>
      <c r="P58" s="181">
        <v>0.93</v>
      </c>
      <c r="Q58" s="186">
        <f>P58</f>
        <v>0.93</v>
      </c>
      <c r="R58" s="188">
        <f>Q58</f>
        <v>0.93</v>
      </c>
      <c r="S58" s="188">
        <f>R58</f>
        <v>0.93</v>
      </c>
      <c r="T58" s="189">
        <f>S58</f>
        <v>0.93</v>
      </c>
      <c r="U58" s="194">
        <v>1.45</v>
      </c>
      <c r="V58" s="186">
        <f>U58</f>
        <v>1.45</v>
      </c>
      <c r="W58" s="188">
        <f>V58</f>
        <v>1.45</v>
      </c>
      <c r="X58" s="188">
        <f>W58</f>
        <v>1.45</v>
      </c>
      <c r="Y58" s="188">
        <f>X58</f>
        <v>1.45</v>
      </c>
      <c r="Z58" s="188">
        <f>Y58</f>
        <v>1.45</v>
      </c>
      <c r="AA58" s="189">
        <f>Z58</f>
        <v>1.45</v>
      </c>
      <c r="AB58" s="194">
        <v>2.07</v>
      </c>
      <c r="AC58" s="186">
        <f>AB58</f>
        <v>2.07</v>
      </c>
      <c r="AD58" s="188">
        <f>AC58</f>
        <v>2.07</v>
      </c>
      <c r="AE58" s="188">
        <f>AD58</f>
        <v>2.07</v>
      </c>
      <c r="AF58" s="188">
        <f>AE58</f>
        <v>2.07</v>
      </c>
      <c r="AG58" s="188">
        <f>AF58</f>
        <v>2.07</v>
      </c>
      <c r="AH58" s="133"/>
      <c r="AI58" s="133"/>
      <c r="AJ58" s="133"/>
      <c r="AK58" s="133"/>
      <c r="AL58" s="133"/>
      <c r="AM58" s="133"/>
    </row>
    <row r="59" ht="19" customHeight="1">
      <c r="A59" s="119">
        <v>46</v>
      </c>
      <c r="B59" t="s" s="91">
        <v>99</v>
      </c>
      <c r="C59" s="141"/>
      <c r="D59" s="70"/>
      <c r="E59" s="199">
        <f>H59</f>
        <v>0.252236137768346</v>
      </c>
      <c r="F59" s="200"/>
      <c r="G59" s="134"/>
      <c r="H59" s="180">
        <f>M59/$C$5+$C$3*(1/($C$9*1000))*J59</f>
        <v>0.252236137768346</v>
      </c>
      <c r="I59" s="136"/>
      <c r="J59" s="124">
        <f>HLOOKUP($C$4,$P$14:$AG$67,A59)</f>
        <v>1.21</v>
      </c>
      <c r="K59" s="137"/>
      <c r="L59" s="70"/>
      <c r="M59" s="162">
        <v>0.15</v>
      </c>
      <c r="N59" s="70"/>
      <c r="O59" s="138"/>
      <c r="P59" s="181">
        <v>1.21</v>
      </c>
      <c r="Q59" s="186">
        <f>P59</f>
        <v>1.21</v>
      </c>
      <c r="R59" s="188">
        <f>Q59</f>
        <v>1.21</v>
      </c>
      <c r="S59" s="188">
        <f>R59</f>
        <v>1.21</v>
      </c>
      <c r="T59" s="188">
        <f>S59</f>
        <v>1.21</v>
      </c>
      <c r="U59" s="184">
        <f>T59</f>
        <v>1.21</v>
      </c>
      <c r="V59" s="188">
        <f>U59</f>
        <v>1.21</v>
      </c>
      <c r="W59" s="188">
        <f>V59</f>
        <v>1.21</v>
      </c>
      <c r="X59" s="188">
        <f>W59</f>
        <v>1.21</v>
      </c>
      <c r="Y59" s="188">
        <f>X59</f>
        <v>1.21</v>
      </c>
      <c r="Z59" s="188">
        <f>Y59</f>
        <v>1.21</v>
      </c>
      <c r="AA59" s="188">
        <f>Z59</f>
        <v>1.21</v>
      </c>
      <c r="AB59" s="183">
        <f>AA59</f>
        <v>1.21</v>
      </c>
      <c r="AC59" s="188">
        <f>AB59</f>
        <v>1.21</v>
      </c>
      <c r="AD59" s="188">
        <f>AC59</f>
        <v>1.21</v>
      </c>
      <c r="AE59" s="188">
        <f>AD59</f>
        <v>1.21</v>
      </c>
      <c r="AF59" s="188">
        <f>AE59</f>
        <v>1.21</v>
      </c>
      <c r="AG59" s="188">
        <f>AF59</f>
        <v>1.21</v>
      </c>
      <c r="AH59" s="133"/>
      <c r="AI59" s="133"/>
      <c r="AJ59" s="133"/>
      <c r="AK59" s="133"/>
      <c r="AL59" s="133"/>
      <c r="AM59" s="133"/>
    </row>
    <row r="60" ht="19" customHeight="1">
      <c r="A60" s="119">
        <v>47</v>
      </c>
      <c r="B60" t="s" s="91">
        <v>100</v>
      </c>
      <c r="C60" s="141"/>
      <c r="D60" s="134"/>
      <c r="E60" s="180">
        <f>$C$3*(1/($C$9*1000))*F60</f>
        <v>0.1022345843706335</v>
      </c>
      <c r="F60" s="217">
        <v>0.516</v>
      </c>
      <c r="G60" s="218"/>
      <c r="H60" s="180">
        <f>$C$3*(1/($C$9*1000))*J60</f>
        <v>0.03962580789559439</v>
      </c>
      <c r="I60" s="219"/>
      <c r="J60" s="124">
        <f>HLOOKUP($C$4,$P$14:$AG$67,A60)</f>
        <v>0.2</v>
      </c>
      <c r="K60" s="137"/>
      <c r="L60" s="70"/>
      <c r="M60" s="70"/>
      <c r="N60" s="70"/>
      <c r="O60" s="138"/>
      <c r="P60" s="181">
        <v>0.2</v>
      </c>
      <c r="Q60" s="204">
        <f>P60</f>
        <v>0.2</v>
      </c>
      <c r="R60" s="187">
        <f>Q60</f>
        <v>0.2</v>
      </c>
      <c r="S60" s="187">
        <f>R60</f>
        <v>0.2</v>
      </c>
      <c r="T60" s="215">
        <f>S60</f>
        <v>0.2</v>
      </c>
      <c r="U60" s="220">
        <v>0.408</v>
      </c>
      <c r="V60" s="204">
        <f>U60</f>
        <v>0.408</v>
      </c>
      <c r="W60" s="187">
        <f>V60</f>
        <v>0.408</v>
      </c>
      <c r="X60" s="187">
        <f>W60</f>
        <v>0.408</v>
      </c>
      <c r="Y60" s="187">
        <f>X60</f>
        <v>0.408</v>
      </c>
      <c r="Z60" s="187">
        <f>Y60</f>
        <v>0.408</v>
      </c>
      <c r="AA60" s="187">
        <f>Z60</f>
        <v>0.408</v>
      </c>
      <c r="AB60" s="187">
        <f>AA60</f>
        <v>0.408</v>
      </c>
      <c r="AC60" s="187">
        <f>AB60</f>
        <v>0.408</v>
      </c>
      <c r="AD60" s="187">
        <f>AC60</f>
        <v>0.408</v>
      </c>
      <c r="AE60" s="187">
        <f>AD60</f>
        <v>0.408</v>
      </c>
      <c r="AF60" s="187">
        <f>AE60</f>
        <v>0.408</v>
      </c>
      <c r="AG60" s="187">
        <f>AF60</f>
        <v>0.408</v>
      </c>
      <c r="AH60" s="133"/>
      <c r="AI60" s="133"/>
      <c r="AJ60" s="133"/>
      <c r="AK60" s="133"/>
      <c r="AL60" s="133"/>
      <c r="AM60" s="133"/>
    </row>
    <row r="61" ht="19" customHeight="1">
      <c r="A61" s="119">
        <v>48</v>
      </c>
      <c r="B61" t="s" s="91">
        <v>101</v>
      </c>
      <c r="C61" t="s" s="74">
        <v>126</v>
      </c>
      <c r="D61" s="70"/>
      <c r="E61" s="164"/>
      <c r="F61" s="104"/>
      <c r="G61" s="70"/>
      <c r="H61" s="211"/>
      <c r="I61" s="70"/>
      <c r="J61" s="211"/>
      <c r="K61" s="70"/>
      <c r="L61" s="70"/>
      <c r="M61" s="70"/>
      <c r="N61" s="70"/>
      <c r="O61" s="138"/>
      <c r="P61" s="212"/>
      <c r="Q61" s="213"/>
      <c r="R61" s="213"/>
      <c r="S61" s="213"/>
      <c r="T61" s="213"/>
      <c r="U61" s="213"/>
      <c r="V61" s="213"/>
      <c r="W61" s="213"/>
      <c r="X61" s="213"/>
      <c r="Y61" s="213"/>
      <c r="Z61" s="213"/>
      <c r="AA61" s="213"/>
      <c r="AB61" s="213"/>
      <c r="AC61" s="213"/>
      <c r="AD61" s="213"/>
      <c r="AE61" s="213"/>
      <c r="AF61" s="213"/>
      <c r="AG61" s="213"/>
      <c r="AH61" s="150"/>
      <c r="AI61" s="133"/>
      <c r="AJ61" s="133"/>
      <c r="AK61" s="133"/>
      <c r="AL61" s="133"/>
      <c r="AM61" s="133"/>
    </row>
    <row r="62" ht="19" customHeight="1">
      <c r="A62" s="119">
        <v>49</v>
      </c>
      <c r="B62" t="s" s="91">
        <v>102</v>
      </c>
      <c r="C62" s="141"/>
      <c r="D62" s="70"/>
      <c r="E62" s="185">
        <f>H62</f>
        <v>0.2991748496117376</v>
      </c>
      <c r="F62" s="70"/>
      <c r="G62" s="134"/>
      <c r="H62" s="180">
        <f>IF(J62="CONTROL","CONTROL",$C$3*(1/($C$9*1000))*J62)</f>
        <v>0.2991748496117376</v>
      </c>
      <c r="I62" s="136"/>
      <c r="J62" s="124">
        <f>HLOOKUP($C$4,$P$14:$AG$67,A62)</f>
        <v>1.51</v>
      </c>
      <c r="K62" s="137"/>
      <c r="L62" s="70"/>
      <c r="M62" s="70"/>
      <c r="N62" s="70"/>
      <c r="O62" s="138"/>
      <c r="P62" s="221">
        <v>0.2565</v>
      </c>
      <c r="Q62" s="194">
        <v>1.51</v>
      </c>
      <c r="R62" s="182">
        <f>Q62</f>
        <v>1.51</v>
      </c>
      <c r="S62" s="183">
        <f>R62</f>
        <v>1.51</v>
      </c>
      <c r="T62" s="205">
        <f>S62</f>
        <v>1.51</v>
      </c>
      <c r="U62" t="s" s="190">
        <v>126</v>
      </c>
      <c r="V62" t="s" s="222">
        <f>U62</f>
        <v>126</v>
      </c>
      <c r="W62" t="s" s="223">
        <f>V62</f>
        <v>126</v>
      </c>
      <c r="X62" t="s" s="224">
        <f>W62</f>
        <v>126</v>
      </c>
      <c r="Y62" t="s" s="223">
        <f>X62</f>
        <v>126</v>
      </c>
      <c r="Z62" t="s" s="223">
        <f>Y62</f>
        <v>126</v>
      </c>
      <c r="AA62" t="s" s="223">
        <f>Z62</f>
        <v>126</v>
      </c>
      <c r="AB62" t="s" s="223">
        <f>AA62</f>
        <v>126</v>
      </c>
      <c r="AC62" t="s" s="223">
        <f>AB62</f>
        <v>126</v>
      </c>
      <c r="AD62" t="s" s="223">
        <f>AC62</f>
        <v>126</v>
      </c>
      <c r="AE62" t="s" s="223">
        <f>AD62</f>
        <v>126</v>
      </c>
      <c r="AF62" t="s" s="223">
        <f>AE62</f>
        <v>126</v>
      </c>
      <c r="AG62" t="s" s="223">
        <f>AF62</f>
        <v>126</v>
      </c>
      <c r="AH62" s="133"/>
      <c r="AI62" s="133"/>
      <c r="AJ62" s="133"/>
      <c r="AK62" s="133"/>
      <c r="AL62" s="133"/>
      <c r="AM62" s="133"/>
    </row>
    <row r="63" ht="19" customHeight="1">
      <c r="A63" s="119">
        <v>50</v>
      </c>
      <c r="B63" t="s" s="91">
        <v>103</v>
      </c>
      <c r="C63" s="141"/>
      <c r="D63" s="70"/>
      <c r="E63" s="185">
        <f>H63</f>
        <v>0.1089709717128846</v>
      </c>
      <c r="F63" s="70"/>
      <c r="G63" s="134"/>
      <c r="H63" s="180">
        <f>IF(J63="CONTROL","CONTROL",$C$3*(1/($C$9*1000))*J63)</f>
        <v>0.1089709717128846</v>
      </c>
      <c r="I63" s="136"/>
      <c r="J63" s="124">
        <f>HLOOKUP($C$4,$P$14:$AG$67,A63)</f>
        <v>0.55</v>
      </c>
      <c r="K63" s="137"/>
      <c r="L63" s="70"/>
      <c r="M63" s="70"/>
      <c r="N63" s="70"/>
      <c r="O63" s="138"/>
      <c r="P63" s="181">
        <v>0.55</v>
      </c>
      <c r="Q63" s="182">
        <f>P63</f>
        <v>0.55</v>
      </c>
      <c r="R63" s="188">
        <f>Q63</f>
        <v>0.55</v>
      </c>
      <c r="S63" s="188">
        <f>R63</f>
        <v>0.55</v>
      </c>
      <c r="T63" s="188">
        <f>S63</f>
        <v>0.55</v>
      </c>
      <c r="U63" s="184">
        <f>T63</f>
        <v>0.55</v>
      </c>
      <c r="V63" s="188">
        <f>U63</f>
        <v>0.55</v>
      </c>
      <c r="W63" s="189">
        <f>V63</f>
        <v>0.55</v>
      </c>
      <c r="X63" t="s" s="190">
        <v>126</v>
      </c>
      <c r="Y63" t="s" s="191">
        <f>X63</f>
        <v>126</v>
      </c>
      <c r="Z63" t="s" s="192">
        <f>Y63</f>
        <v>126</v>
      </c>
      <c r="AA63" t="s" s="192">
        <f>Z63</f>
        <v>126</v>
      </c>
      <c r="AB63" t="s" s="192">
        <f>AA63</f>
        <v>126</v>
      </c>
      <c r="AC63" t="s" s="192">
        <f>AB63</f>
        <v>126</v>
      </c>
      <c r="AD63" t="s" s="192">
        <f>AC63</f>
        <v>126</v>
      </c>
      <c r="AE63" t="s" s="192">
        <f>AD63</f>
        <v>126</v>
      </c>
      <c r="AF63" t="s" s="192">
        <f>AE63</f>
        <v>126</v>
      </c>
      <c r="AG63" t="s" s="192">
        <f>AF63</f>
        <v>126</v>
      </c>
      <c r="AH63" s="133"/>
      <c r="AI63" s="133"/>
      <c r="AJ63" s="133"/>
      <c r="AK63" s="133"/>
      <c r="AL63" s="133"/>
      <c r="AM63" s="133"/>
    </row>
    <row r="64" ht="19" customHeight="1">
      <c r="A64" s="119">
        <v>51</v>
      </c>
      <c r="B64" t="s" s="91">
        <v>104</v>
      </c>
      <c r="C64" s="141"/>
      <c r="D64" s="70"/>
      <c r="E64" s="185">
        <f>H64</f>
        <v>0.1723722643458356</v>
      </c>
      <c r="F64" s="70"/>
      <c r="G64" s="134"/>
      <c r="H64" s="180">
        <f>$C$3*(1/($C$9*1000))*J64</f>
        <v>0.1723722643458356</v>
      </c>
      <c r="I64" s="136"/>
      <c r="J64" s="124">
        <f>HLOOKUP($C$4,$P$14:$AG$67,A64)</f>
        <v>0.87</v>
      </c>
      <c r="K64" s="137"/>
      <c r="L64" s="70"/>
      <c r="M64" s="70"/>
      <c r="N64" s="70"/>
      <c r="O64" s="138"/>
      <c r="P64" s="181">
        <v>0.87</v>
      </c>
      <c r="Q64" s="186">
        <f>P64</f>
        <v>0.87</v>
      </c>
      <c r="R64" s="188">
        <f>Q64</f>
        <v>0.87</v>
      </c>
      <c r="S64" s="188">
        <f>R64</f>
        <v>0.87</v>
      </c>
      <c r="T64" s="189">
        <f>S64</f>
        <v>0.87</v>
      </c>
      <c r="U64" s="194">
        <v>1.72</v>
      </c>
      <c r="V64" s="186">
        <f>U64</f>
        <v>1.72</v>
      </c>
      <c r="W64" s="188">
        <f>V64</f>
        <v>1.72</v>
      </c>
      <c r="X64" s="183">
        <f>W64</f>
        <v>1.72</v>
      </c>
      <c r="Y64" s="188">
        <f>X64</f>
        <v>1.72</v>
      </c>
      <c r="Z64" s="188">
        <f>Y64</f>
        <v>1.72</v>
      </c>
      <c r="AA64" s="188">
        <f>Z64</f>
        <v>1.72</v>
      </c>
      <c r="AB64" s="188">
        <f>AA64</f>
        <v>1.72</v>
      </c>
      <c r="AC64" s="188">
        <f>AB64</f>
        <v>1.72</v>
      </c>
      <c r="AD64" s="188">
        <f>AC64</f>
        <v>1.72</v>
      </c>
      <c r="AE64" s="188">
        <f>AD64</f>
        <v>1.72</v>
      </c>
      <c r="AF64" s="188">
        <f>AE64</f>
        <v>1.72</v>
      </c>
      <c r="AG64" s="188">
        <f>AF64</f>
        <v>1.72</v>
      </c>
      <c r="AH64" s="133"/>
      <c r="AI64" s="133"/>
      <c r="AJ64" s="133"/>
      <c r="AK64" s="133"/>
      <c r="AL64" s="133"/>
      <c r="AM64" s="133"/>
    </row>
    <row r="65" ht="19" customHeight="1">
      <c r="A65" s="119">
        <v>52</v>
      </c>
      <c r="B65" t="s" s="91">
        <v>105</v>
      </c>
      <c r="C65" s="141"/>
      <c r="D65" s="70"/>
      <c r="E65" s="185">
        <f>H65</f>
        <v>0.04953225986949298</v>
      </c>
      <c r="F65" s="70"/>
      <c r="G65" s="134"/>
      <c r="H65" s="180">
        <f>$C$3*(1/($C$9*1000))*J65</f>
        <v>0.04953225986949298</v>
      </c>
      <c r="I65" s="136"/>
      <c r="J65" s="124">
        <f>HLOOKUP($C$4,$P$14:$AG$67,A65)</f>
        <v>0.25</v>
      </c>
      <c r="K65" s="137"/>
      <c r="L65" s="70"/>
      <c r="M65" s="70"/>
      <c r="N65" s="70"/>
      <c r="O65" s="138"/>
      <c r="P65" s="181">
        <v>0.25</v>
      </c>
      <c r="Q65" s="186">
        <f>P65</f>
        <v>0.25</v>
      </c>
      <c r="R65" s="188">
        <f>Q65</f>
        <v>0.25</v>
      </c>
      <c r="S65" s="188">
        <f>R65</f>
        <v>0.25</v>
      </c>
      <c r="T65" s="189">
        <f>S65</f>
        <v>0.25</v>
      </c>
      <c r="U65" s="194">
        <v>0.45</v>
      </c>
      <c r="V65" s="186">
        <f>U65</f>
        <v>0.45</v>
      </c>
      <c r="W65" s="188">
        <f>V65</f>
        <v>0.45</v>
      </c>
      <c r="X65" s="188">
        <f>W65</f>
        <v>0.45</v>
      </c>
      <c r="Y65" s="188">
        <f>X65</f>
        <v>0.45</v>
      </c>
      <c r="Z65" s="188">
        <f>Y65</f>
        <v>0.45</v>
      </c>
      <c r="AA65" s="188">
        <f>Z65</f>
        <v>0.45</v>
      </c>
      <c r="AB65" s="188">
        <f>AA65</f>
        <v>0.45</v>
      </c>
      <c r="AC65" s="188">
        <f>AB65</f>
        <v>0.45</v>
      </c>
      <c r="AD65" s="188">
        <f>AC65</f>
        <v>0.45</v>
      </c>
      <c r="AE65" s="188">
        <f>AD65</f>
        <v>0.45</v>
      </c>
      <c r="AF65" s="188">
        <f>AE65</f>
        <v>0.45</v>
      </c>
      <c r="AG65" s="188">
        <f>AF65</f>
        <v>0.45</v>
      </c>
      <c r="AH65" s="133"/>
      <c r="AI65" s="133"/>
      <c r="AJ65" s="133"/>
      <c r="AK65" s="133"/>
      <c r="AL65" s="133"/>
      <c r="AM65" s="133"/>
    </row>
    <row r="66" ht="19" customHeight="1">
      <c r="A66" s="119">
        <v>53</v>
      </c>
      <c r="B66" t="s" s="91">
        <v>106</v>
      </c>
      <c r="C66" s="141"/>
      <c r="D66" s="70"/>
      <c r="E66" s="185">
        <f>H66</f>
        <v>0.6717654031143355</v>
      </c>
      <c r="F66" s="70"/>
      <c r="G66" s="134"/>
      <c r="H66" s="180">
        <f>$C$6*N66+$C$3*(1/($C$9*1000))*J66</f>
        <v>0.6717654031143355</v>
      </c>
      <c r="I66" s="136"/>
      <c r="J66" s="124">
        <f>HLOOKUP($C$4,$P$14:$AG$67,A66)</f>
        <v>1</v>
      </c>
      <c r="K66" s="137"/>
      <c r="L66" s="70"/>
      <c r="M66" s="70"/>
      <c r="N66" s="79">
        <v>0.05</v>
      </c>
      <c r="O66" s="138"/>
      <c r="P66" s="181">
        <v>1</v>
      </c>
      <c r="Q66" s="204">
        <f>P66</f>
        <v>1</v>
      </c>
      <c r="R66" s="187">
        <f>Q66</f>
        <v>1</v>
      </c>
      <c r="S66" s="187">
        <f>R66</f>
        <v>1</v>
      </c>
      <c r="T66" s="187">
        <f>S66</f>
        <v>1</v>
      </c>
      <c r="U66" s="184">
        <f>T66</f>
        <v>1</v>
      </c>
      <c r="V66" s="187">
        <f>U66</f>
        <v>1</v>
      </c>
      <c r="W66" s="187">
        <f>V66</f>
        <v>1</v>
      </c>
      <c r="X66" s="187">
        <f>W66</f>
        <v>1</v>
      </c>
      <c r="Y66" s="187">
        <f>X66</f>
        <v>1</v>
      </c>
      <c r="Z66" s="187">
        <f>Y66</f>
        <v>1</v>
      </c>
      <c r="AA66" s="187">
        <f>Z66</f>
        <v>1</v>
      </c>
      <c r="AB66" s="187">
        <f>AA66</f>
        <v>1</v>
      </c>
      <c r="AC66" s="187">
        <f>AB66</f>
        <v>1</v>
      </c>
      <c r="AD66" s="187">
        <f>AC66</f>
        <v>1</v>
      </c>
      <c r="AE66" s="187">
        <f>AD66</f>
        <v>1</v>
      </c>
      <c r="AF66" s="187">
        <f>AE66</f>
        <v>1</v>
      </c>
      <c r="AG66" s="187">
        <f>AF66</f>
        <v>1</v>
      </c>
      <c r="AH66" s="133"/>
      <c r="AI66" s="133"/>
      <c r="AJ66" s="133"/>
      <c r="AK66" s="133"/>
      <c r="AL66" s="133"/>
      <c r="AM66" s="133"/>
    </row>
    <row r="67" ht="19" customHeight="1">
      <c r="A67" s="119">
        <v>54</v>
      </c>
      <c r="B67" t="s" s="91">
        <v>107</v>
      </c>
      <c r="C67" t="s" s="74">
        <v>126</v>
      </c>
      <c r="D67" s="70"/>
      <c r="E67" s="70"/>
      <c r="F67" s="70"/>
      <c r="G67" s="70"/>
      <c r="H67" s="164"/>
      <c r="I67" s="70"/>
      <c r="J67" s="164"/>
      <c r="K67" s="70"/>
      <c r="L67" s="70"/>
      <c r="M67" s="70"/>
      <c r="N67" s="70"/>
      <c r="O67" s="138"/>
      <c r="P67" s="153"/>
      <c r="Q67" s="154"/>
      <c r="R67" s="154"/>
      <c r="S67" s="154"/>
      <c r="T67" s="154"/>
      <c r="U67" s="154"/>
      <c r="V67" s="154"/>
      <c r="W67" s="154"/>
      <c r="X67" s="154"/>
      <c r="Y67" s="154"/>
      <c r="Z67" s="154"/>
      <c r="AA67" s="154"/>
      <c r="AB67" s="154"/>
      <c r="AC67" s="154"/>
      <c r="AD67" s="154"/>
      <c r="AE67" s="154"/>
      <c r="AF67" s="154"/>
      <c r="AG67" s="154"/>
      <c r="AH67" s="150"/>
      <c r="AI67" s="133"/>
      <c r="AJ67" s="133"/>
      <c r="AK67" s="133"/>
      <c r="AL67" s="133"/>
      <c r="AM67" s="133"/>
    </row>
    <row r="68" ht="19" customHeight="1">
      <c r="A68" s="70"/>
      <c r="B68" s="88"/>
      <c r="C68" s="141"/>
      <c r="D68" s="70"/>
      <c r="E68" s="70"/>
      <c r="F68" s="70"/>
      <c r="G68" s="70"/>
      <c r="H68" s="70"/>
      <c r="I68" s="70"/>
      <c r="J68" s="70"/>
      <c r="K68" s="70"/>
      <c r="L68" s="70"/>
      <c r="M68" s="70"/>
      <c r="N68" s="70"/>
      <c r="O68" s="70"/>
      <c r="P68" s="165"/>
      <c r="Q68" s="165"/>
      <c r="R68" s="165"/>
      <c r="S68" s="165"/>
      <c r="T68" s="165"/>
      <c r="U68" s="165"/>
      <c r="V68" s="165"/>
      <c r="W68" s="165"/>
      <c r="X68" s="165"/>
      <c r="Y68" s="165"/>
      <c r="Z68" s="165"/>
      <c r="AA68" s="165"/>
      <c r="AB68" s="165"/>
      <c r="AC68" s="165"/>
      <c r="AD68" s="165"/>
      <c r="AE68" s="165"/>
      <c r="AF68" s="165"/>
      <c r="AG68" s="165"/>
      <c r="AH68" s="133"/>
      <c r="AI68" s="133"/>
      <c r="AJ68" s="133"/>
      <c r="AK68" s="133"/>
      <c r="AL68" s="133"/>
      <c r="AM68" s="133"/>
    </row>
    <row r="69" ht="19" customHeight="1">
      <c r="A69" s="70"/>
      <c r="B69" t="s" s="91">
        <v>131</v>
      </c>
      <c r="C69" s="162">
        <v>0.67</v>
      </c>
      <c r="D69" s="70"/>
      <c r="E69" s="70"/>
      <c r="F69" s="70"/>
      <c r="G69" s="70"/>
      <c r="H69" s="70"/>
      <c r="I69" s="70"/>
      <c r="J69" s="70"/>
      <c r="K69" s="70"/>
      <c r="L69" s="70"/>
      <c r="M69" s="70"/>
      <c r="N69" s="70"/>
      <c r="O69" s="70"/>
      <c r="P69" s="162"/>
      <c r="Q69" s="162"/>
      <c r="R69" s="162"/>
      <c r="S69" s="162"/>
      <c r="T69" s="162"/>
      <c r="U69" s="162"/>
      <c r="V69" s="162"/>
      <c r="W69" s="162"/>
      <c r="X69" s="162"/>
      <c r="Y69" s="162"/>
      <c r="Z69" s="162"/>
      <c r="AA69" s="162"/>
      <c r="AB69" s="162"/>
      <c r="AC69" s="162"/>
      <c r="AD69" s="162"/>
      <c r="AE69" s="162"/>
      <c r="AF69" s="162"/>
      <c r="AG69" s="162"/>
      <c r="AH69" s="133"/>
      <c r="AI69" s="133"/>
      <c r="AJ69" s="133"/>
      <c r="AK69" s="133"/>
      <c r="AL69" s="133"/>
      <c r="AM69" s="133"/>
    </row>
  </sheetData>
  <pageMargins left="0.75" right="0.75" top="1" bottom="1" header="0.5" footer="0.5"/>
  <pageSetup firstPageNumber="1" fitToHeight="1" fitToWidth="1" scale="100" useFirstPageNumber="0" orientation="portrait" pageOrder="downThenOver"/>
  <headerFooter>
    <oddFooter>&amp;L&amp;"Helvetica,Regular"&amp;12&amp;K000000	&amp;P</oddFooter>
  </headerFooter>
</worksheet>
</file>

<file path=xl/worksheets/sheet6.xml><?xml version="1.0" encoding="utf-8"?>
<worksheet xmlns:r="http://schemas.openxmlformats.org/officeDocument/2006/relationships" xmlns="http://schemas.openxmlformats.org/spreadsheetml/2006/main">
  <dimension ref="A1:X74"/>
  <sheetViews>
    <sheetView workbookViewId="0" showGridLines="0" defaultGridColor="1"/>
  </sheetViews>
  <sheetFormatPr defaultColWidth="9.375" defaultRowHeight="15" customHeight="1" outlineLevelRow="0" outlineLevelCol="0"/>
  <cols>
    <col min="1" max="1" width="9.375" style="225" customWidth="1"/>
    <col min="2" max="2" width="11.125" style="225" customWidth="1"/>
    <col min="3" max="3" width="9.375" style="225" customWidth="1"/>
    <col min="4" max="4" width="9.375" style="225" customWidth="1"/>
    <col min="5" max="5" width="9.375" style="225" customWidth="1"/>
    <col min="6" max="6" width="9.375" style="225" customWidth="1"/>
    <col min="7" max="7" width="9.375" style="225" customWidth="1"/>
    <col min="8" max="8" width="9.375" style="225" customWidth="1"/>
    <col min="9" max="9" width="10.375" style="225" customWidth="1"/>
    <col min="10" max="10" width="9.375" style="225" customWidth="1"/>
    <col min="11" max="11" width="9.375" style="225" customWidth="1"/>
    <col min="12" max="12" width="9.375" style="225" customWidth="1"/>
    <col min="13" max="13" width="9.375" style="225" customWidth="1"/>
    <col min="14" max="14" width="9.375" style="225" customWidth="1"/>
    <col min="15" max="15" width="9.375" style="225" customWidth="1"/>
    <col min="16" max="16" width="10.375" style="225" customWidth="1"/>
    <col min="17" max="17" width="9.375" style="225" customWidth="1"/>
    <col min="18" max="18" width="9.375" style="225" customWidth="1"/>
    <col min="19" max="19" width="9.375" style="225" customWidth="1"/>
    <col min="20" max="20" width="9.375" style="225" customWidth="1"/>
    <col min="21" max="21" width="9.375" style="225" customWidth="1"/>
    <col min="22" max="22" width="9.375" style="225" customWidth="1"/>
    <col min="23" max="23" width="9.375" style="225" customWidth="1"/>
    <col min="24" max="24" width="9.375" style="225" customWidth="1"/>
    <col min="25" max="256" width="9.375" style="225" customWidth="1"/>
  </cols>
  <sheetData>
    <row r="1" ht="25" customHeight="1">
      <c r="A1" t="s" s="94">
        <v>140</v>
      </c>
      <c r="B1" s="70"/>
      <c r="C1" s="70"/>
      <c r="D1" s="70"/>
      <c r="E1" s="70"/>
      <c r="F1" s="70"/>
      <c r="G1" s="70"/>
      <c r="H1" s="70"/>
      <c r="I1" s="70"/>
      <c r="J1" s="70"/>
      <c r="K1" s="70"/>
      <c r="L1" s="70"/>
      <c r="M1" s="70"/>
      <c r="N1" s="70"/>
      <c r="O1" s="70"/>
      <c r="P1" s="70"/>
      <c r="Q1" s="70"/>
      <c r="R1" s="70"/>
      <c r="S1" s="95"/>
      <c r="T1" s="95"/>
      <c r="U1" s="95"/>
      <c r="V1" s="95"/>
      <c r="W1" s="95"/>
      <c r="X1" s="95"/>
    </row>
    <row r="2" ht="19" customHeight="1">
      <c r="A2" s="96"/>
      <c r="B2" s="96"/>
      <c r="C2" s="96"/>
      <c r="D2" s="70"/>
      <c r="E2" s="70"/>
      <c r="F2" s="70"/>
      <c r="G2" s="70"/>
      <c r="H2" s="70"/>
      <c r="I2" s="70"/>
      <c r="J2" s="70"/>
      <c r="K2" s="70"/>
      <c r="L2" s="70"/>
      <c r="M2" s="70"/>
      <c r="N2" s="70"/>
      <c r="O2" s="70"/>
      <c r="P2" s="70"/>
      <c r="Q2" s="70"/>
      <c r="R2" s="70"/>
      <c r="S2" s="141"/>
      <c r="T2" s="141"/>
      <c r="U2" s="141"/>
      <c r="V2" s="141"/>
      <c r="W2" s="141"/>
      <c r="X2" s="141"/>
    </row>
    <row r="3" ht="16" customHeight="1">
      <c r="A3" t="s" s="97">
        <v>109</v>
      </c>
      <c r="B3" t="s" s="97">
        <v>110</v>
      </c>
      <c r="C3" s="98">
        <f>'Pricing Calculator'!D9</f>
        <v>750</v>
      </c>
      <c r="D3" s="99"/>
      <c r="E3" s="70"/>
      <c r="F3" s="70"/>
      <c r="G3" s="70"/>
      <c r="H3" s="70"/>
      <c r="I3" s="70"/>
      <c r="J3" s="70"/>
      <c r="K3" s="70"/>
      <c r="L3" s="70"/>
      <c r="M3" s="70"/>
      <c r="N3" s="70"/>
      <c r="O3" s="70"/>
      <c r="P3" s="70"/>
      <c r="Q3" s="70"/>
      <c r="R3" s="70"/>
      <c r="S3" s="141"/>
      <c r="T3" s="141"/>
      <c r="U3" s="141"/>
      <c r="V3" s="141"/>
      <c r="W3" s="141"/>
      <c r="X3" s="141"/>
    </row>
    <row r="4" ht="17" customHeight="1">
      <c r="A4" s="100"/>
      <c r="B4" t="s" s="97">
        <v>6</v>
      </c>
      <c r="C4" s="101">
        <f>'Pricing Calculator'!D10</f>
        <v>0.12</v>
      </c>
      <c r="D4" s="99"/>
      <c r="E4" s="70"/>
      <c r="F4" s="70"/>
      <c r="G4" s="70"/>
      <c r="H4" s="70"/>
      <c r="I4" s="70"/>
      <c r="J4" s="70"/>
      <c r="K4" s="70"/>
      <c r="L4" s="70"/>
      <c r="M4" s="70"/>
      <c r="N4" s="70"/>
      <c r="O4" s="70"/>
      <c r="P4" s="70"/>
      <c r="Q4" s="70"/>
      <c r="R4" s="70"/>
      <c r="S4" s="141"/>
      <c r="T4" s="141"/>
      <c r="U4" s="141"/>
      <c r="V4" s="141"/>
      <c r="W4" s="141"/>
      <c r="X4" s="141"/>
    </row>
    <row r="5" ht="17" customHeight="1">
      <c r="A5" s="100"/>
      <c r="B5" t="s" s="97">
        <v>111</v>
      </c>
      <c r="C5" s="102">
        <f>'Pricing Calculator'!D11</f>
        <v>12</v>
      </c>
      <c r="D5" s="99"/>
      <c r="E5" s="70"/>
      <c r="F5" s="70"/>
      <c r="G5" s="70"/>
      <c r="H5" s="70"/>
      <c r="I5" s="70"/>
      <c r="J5" s="70"/>
      <c r="K5" s="70"/>
      <c r="L5" s="70"/>
      <c r="M5" s="70"/>
      <c r="N5" s="70"/>
      <c r="O5" s="70"/>
      <c r="P5" s="70"/>
      <c r="Q5" s="70"/>
      <c r="R5" s="70"/>
      <c r="S5" s="141"/>
      <c r="T5" s="141"/>
      <c r="U5" s="141"/>
      <c r="V5" s="141"/>
      <c r="W5" s="141"/>
      <c r="X5" s="141"/>
    </row>
    <row r="6" ht="17" customHeight="1">
      <c r="A6" s="100"/>
      <c r="B6" t="s" s="97">
        <v>112</v>
      </c>
      <c r="C6" s="103">
        <f>'Pricing Calculator'!D36</f>
        <v>13.66651515151515</v>
      </c>
      <c r="D6" t="s" s="209">
        <v>141</v>
      </c>
      <c r="E6" s="70"/>
      <c r="F6" s="70"/>
      <c r="G6" s="70"/>
      <c r="H6" s="70"/>
      <c r="I6" s="70"/>
      <c r="J6" s="70"/>
      <c r="K6" s="70"/>
      <c r="L6" s="70"/>
      <c r="M6" s="70"/>
      <c r="N6" s="70"/>
      <c r="O6" s="70"/>
      <c r="P6" s="70"/>
      <c r="Q6" s="70"/>
      <c r="R6" s="70"/>
      <c r="S6" s="141"/>
      <c r="T6" s="141"/>
      <c r="U6" s="141"/>
      <c r="V6" s="141"/>
      <c r="W6" s="141"/>
      <c r="X6" s="141"/>
    </row>
    <row r="7" ht="17" customHeight="1">
      <c r="A7" s="100"/>
      <c r="B7" t="s" s="97">
        <v>142</v>
      </c>
      <c r="C7" t="s" s="226">
        <f>'Pricing Calculator'!D42</f>
        <v>143</v>
      </c>
      <c r="D7" s="99"/>
      <c r="E7" s="70"/>
      <c r="F7" s="70"/>
      <c r="G7" s="70"/>
      <c r="H7" s="70"/>
      <c r="I7" s="70"/>
      <c r="J7" s="70"/>
      <c r="K7" s="70"/>
      <c r="L7" s="70"/>
      <c r="M7" s="70"/>
      <c r="N7" s="70"/>
      <c r="O7" s="70"/>
      <c r="P7" s="70"/>
      <c r="Q7" s="70"/>
      <c r="R7" s="70"/>
      <c r="S7" s="141"/>
      <c r="T7" s="141"/>
      <c r="U7" s="141"/>
      <c r="V7" s="141"/>
      <c r="W7" s="141"/>
      <c r="X7" s="141"/>
    </row>
    <row r="8" ht="16" customHeight="1">
      <c r="A8" s="104"/>
      <c r="B8" s="104"/>
      <c r="C8" s="105"/>
      <c r="D8" s="70"/>
      <c r="E8" s="70"/>
      <c r="F8" s="70"/>
      <c r="G8" s="70"/>
      <c r="H8" s="70"/>
      <c r="I8" s="70"/>
      <c r="J8" s="70"/>
      <c r="K8" s="70"/>
      <c r="L8" s="70"/>
      <c r="M8" s="70"/>
      <c r="N8" s="70"/>
      <c r="O8" s="70"/>
      <c r="P8" s="70"/>
      <c r="Q8" s="70"/>
      <c r="R8" s="70"/>
      <c r="S8" s="141"/>
      <c r="T8" s="141"/>
      <c r="U8" s="141"/>
      <c r="V8" s="141"/>
      <c r="W8" s="141"/>
      <c r="X8" s="141"/>
    </row>
    <row r="9" ht="19" customHeight="1">
      <c r="A9" t="s" s="74">
        <v>113</v>
      </c>
      <c r="B9" s="70"/>
      <c r="C9" s="70"/>
      <c r="D9" s="70"/>
      <c r="E9" s="70"/>
      <c r="F9" s="70"/>
      <c r="G9" s="70"/>
      <c r="H9" s="70"/>
      <c r="I9" s="70"/>
      <c r="J9" s="70"/>
      <c r="K9" s="70"/>
      <c r="L9" s="70"/>
      <c r="M9" s="70"/>
      <c r="N9" s="70"/>
      <c r="O9" s="70"/>
      <c r="P9" s="70"/>
      <c r="Q9" s="70"/>
      <c r="R9" s="70"/>
      <c r="S9" s="141"/>
      <c r="T9" s="141"/>
      <c r="U9" s="141"/>
      <c r="V9" s="141"/>
      <c r="W9" s="141"/>
      <c r="X9" s="141"/>
    </row>
    <row r="10" ht="19" customHeight="1">
      <c r="A10" t="s" s="76">
        <v>114</v>
      </c>
      <c r="B10" s="76">
        <v>1</v>
      </c>
      <c r="C10" s="76">
        <v>3.78541178</v>
      </c>
      <c r="D10" t="s" s="76">
        <v>115</v>
      </c>
      <c r="E10" s="70"/>
      <c r="F10" s="70"/>
      <c r="G10" s="70"/>
      <c r="H10" s="70"/>
      <c r="I10" s="70"/>
      <c r="J10" s="70"/>
      <c r="K10" s="70"/>
      <c r="L10" s="70"/>
      <c r="M10" s="70"/>
      <c r="N10" s="70"/>
      <c r="O10" s="70"/>
      <c r="P10" s="70"/>
      <c r="Q10" s="70"/>
      <c r="R10" s="70"/>
      <c r="S10" s="141"/>
      <c r="T10" s="141"/>
      <c r="U10" s="141"/>
      <c r="V10" s="141"/>
      <c r="W10" s="141"/>
      <c r="X10" s="141"/>
    </row>
    <row r="11" ht="19" customHeight="1">
      <c r="A11" t="s" s="74">
        <v>144</v>
      </c>
      <c r="B11" s="74">
        <v>1</v>
      </c>
      <c r="C11" s="227">
        <v>29.573529687517</v>
      </c>
      <c r="D11" t="s" s="74">
        <v>145</v>
      </c>
      <c r="E11" s="70"/>
      <c r="F11" s="70"/>
      <c r="G11" s="70"/>
      <c r="H11" s="70"/>
      <c r="I11" s="70"/>
      <c r="J11" s="70"/>
      <c r="K11" s="70"/>
      <c r="L11" s="70"/>
      <c r="M11" s="70"/>
      <c r="N11" s="70"/>
      <c r="O11" s="70"/>
      <c r="P11" s="70"/>
      <c r="Q11" s="70"/>
      <c r="R11" s="70"/>
      <c r="S11" s="70"/>
      <c r="T11" s="70"/>
      <c r="U11" s="70"/>
      <c r="V11" s="70"/>
      <c r="W11" s="70"/>
      <c r="X11" s="70"/>
    </row>
    <row r="12" ht="19" customHeight="1">
      <c r="A12" s="70"/>
      <c r="B12" s="70"/>
      <c r="C12" s="70"/>
      <c r="D12" s="70"/>
      <c r="E12" s="70"/>
      <c r="F12" s="70"/>
      <c r="G12" s="70"/>
      <c r="H12" s="70"/>
      <c r="I12" s="70"/>
      <c r="J12" s="70"/>
      <c r="K12" s="70"/>
      <c r="L12" s="70"/>
      <c r="M12" s="70"/>
      <c r="N12" s="70"/>
      <c r="O12" s="70"/>
      <c r="P12" s="70"/>
      <c r="Q12" s="70"/>
      <c r="R12" s="70"/>
      <c r="S12" s="70"/>
      <c r="T12" s="70"/>
      <c r="U12" s="70"/>
      <c r="V12" s="70"/>
      <c r="W12" s="70"/>
      <c r="X12" s="70"/>
    </row>
    <row r="13" ht="19" customHeight="1">
      <c r="A13" s="70"/>
      <c r="B13" s="96"/>
      <c r="C13" t="s" s="228">
        <v>146</v>
      </c>
      <c r="D13" s="96"/>
      <c r="E13" s="96"/>
      <c r="F13" s="96"/>
      <c r="G13" s="96"/>
      <c r="H13" s="96"/>
      <c r="I13" s="96"/>
      <c r="J13" s="70"/>
      <c r="K13" s="70"/>
      <c r="L13" s="96"/>
      <c r="M13" t="s" s="228">
        <v>146</v>
      </c>
      <c r="N13" s="96"/>
      <c r="O13" s="96"/>
      <c r="P13" s="96"/>
      <c r="Q13" s="96"/>
      <c r="R13" s="96"/>
      <c r="S13" s="96"/>
      <c r="T13" s="70"/>
      <c r="U13" s="70"/>
      <c r="V13" s="70"/>
      <c r="W13" s="70"/>
      <c r="X13" s="70"/>
    </row>
    <row r="14" ht="19" customHeight="1">
      <c r="A14" s="167"/>
      <c r="B14" s="229"/>
      <c r="C14" t="s" s="230">
        <v>40</v>
      </c>
      <c r="D14" s="231"/>
      <c r="E14" s="231"/>
      <c r="F14" s="231"/>
      <c r="G14" s="231"/>
      <c r="H14" s="231"/>
      <c r="I14" s="231"/>
      <c r="J14" s="99"/>
      <c r="K14" s="167"/>
      <c r="L14" s="229"/>
      <c r="M14" t="s" s="232">
        <v>147</v>
      </c>
      <c r="N14" s="233"/>
      <c r="O14" s="233"/>
      <c r="P14" s="233"/>
      <c r="Q14" s="233"/>
      <c r="R14" s="233"/>
      <c r="S14" s="233"/>
      <c r="T14" s="99"/>
      <c r="U14" s="70"/>
      <c r="V14" s="70"/>
      <c r="W14" s="70"/>
      <c r="X14" s="70"/>
    </row>
    <row r="15" ht="19" customHeight="1">
      <c r="A15" s="2"/>
      <c r="B15" t="s" s="234">
        <v>148</v>
      </c>
      <c r="C15" t="s" s="235">
        <v>52</v>
      </c>
      <c r="D15" s="231"/>
      <c r="E15" s="231"/>
      <c r="F15" t="s" s="235">
        <v>51</v>
      </c>
      <c r="G15" s="231"/>
      <c r="H15" s="231"/>
      <c r="I15" s="231"/>
      <c r="J15" s="99"/>
      <c r="K15" s="2"/>
      <c r="L15" t="s" s="234">
        <v>148</v>
      </c>
      <c r="M15" t="s" s="232">
        <v>52</v>
      </c>
      <c r="N15" s="233"/>
      <c r="O15" s="233"/>
      <c r="P15" t="s" s="232">
        <v>51</v>
      </c>
      <c r="Q15" s="233"/>
      <c r="R15" s="233"/>
      <c r="S15" s="233"/>
      <c r="T15" s="99"/>
      <c r="U15" s="70"/>
      <c r="V15" s="70"/>
      <c r="W15" s="70"/>
      <c r="X15" s="70"/>
    </row>
    <row r="16" ht="19" customHeight="1">
      <c r="A16" t="s" s="236">
        <v>117</v>
      </c>
      <c r="B16" t="s" s="237">
        <v>149</v>
      </c>
      <c r="C16" t="s" s="237">
        <v>150</v>
      </c>
      <c r="D16" t="s" s="238">
        <v>15</v>
      </c>
      <c r="E16" t="s" s="239">
        <v>151</v>
      </c>
      <c r="F16" t="s" s="237">
        <v>152</v>
      </c>
      <c r="G16" t="s" s="238">
        <v>15</v>
      </c>
      <c r="H16" t="s" s="240">
        <v>151</v>
      </c>
      <c r="I16" t="s" s="240">
        <v>153</v>
      </c>
      <c r="J16" s="167"/>
      <c r="K16" t="s" s="236">
        <v>117</v>
      </c>
      <c r="L16" t="s" s="237">
        <v>149</v>
      </c>
      <c r="M16" t="s" s="241">
        <v>150</v>
      </c>
      <c r="N16" t="s" s="240">
        <v>15</v>
      </c>
      <c r="O16" t="s" s="240">
        <v>151</v>
      </c>
      <c r="P16" t="s" s="242">
        <v>152</v>
      </c>
      <c r="Q16" t="s" s="240">
        <v>15</v>
      </c>
      <c r="R16" t="s" s="240">
        <v>151</v>
      </c>
      <c r="S16" t="s" s="240">
        <v>153</v>
      </c>
      <c r="T16" s="70"/>
      <c r="U16" s="70"/>
      <c r="V16" s="70"/>
      <c r="W16" s="70"/>
      <c r="X16" s="70"/>
    </row>
    <row r="17" ht="19" customHeight="1">
      <c r="A17" t="s" s="243">
        <v>54</v>
      </c>
      <c r="B17" s="124">
        <f>IF($C$7="On-Premise",C17,F17)</f>
        <v>0</v>
      </c>
      <c r="C17" s="135"/>
      <c r="D17" s="244"/>
      <c r="E17" s="245"/>
      <c r="F17" s="246"/>
      <c r="G17" s="244"/>
      <c r="H17" s="118"/>
      <c r="I17" s="70"/>
      <c r="J17" s="70"/>
      <c r="K17" t="s" s="243">
        <v>54</v>
      </c>
      <c r="L17" s="124">
        <f>IF($C$7="On-Premise",M17,P17)</f>
        <v>0</v>
      </c>
      <c r="M17" s="135"/>
      <c r="N17" s="244"/>
      <c r="O17" s="245"/>
      <c r="P17" s="246"/>
      <c r="Q17" s="244"/>
      <c r="R17" s="118"/>
      <c r="S17" s="70"/>
      <c r="T17" s="70"/>
      <c r="U17" s="70"/>
      <c r="V17" s="70"/>
      <c r="W17" s="70"/>
      <c r="X17" s="70"/>
    </row>
    <row r="18" ht="19" customHeight="1">
      <c r="A18" t="s" s="247">
        <v>55</v>
      </c>
      <c r="B18" s="124">
        <f>IF($C$7="On-Premise",C18,F18)</f>
        <v>0</v>
      </c>
      <c r="C18" s="135"/>
      <c r="D18" s="244"/>
      <c r="E18" s="245"/>
      <c r="F18" s="246"/>
      <c r="G18" s="244"/>
      <c r="H18" s="118"/>
      <c r="I18" s="70"/>
      <c r="J18" s="70"/>
      <c r="K18" t="s" s="247">
        <v>55</v>
      </c>
      <c r="L18" s="124">
        <f>IF($C$7="On-Premise",M18,P18)</f>
        <v>0</v>
      </c>
      <c r="M18" s="135"/>
      <c r="N18" s="244"/>
      <c r="O18" s="245"/>
      <c r="P18" s="246"/>
      <c r="Q18" s="244"/>
      <c r="R18" s="118"/>
      <c r="S18" s="70"/>
      <c r="T18" s="70"/>
      <c r="U18" s="70"/>
      <c r="V18" s="70"/>
      <c r="W18" s="70"/>
      <c r="X18" s="70"/>
    </row>
    <row r="19" ht="19" customHeight="1">
      <c r="A19" t="s" s="247">
        <v>56</v>
      </c>
      <c r="B19" s="124">
        <f>IF($C$7="On-Premise",C19,F19)</f>
        <v>1.913312121212122</v>
      </c>
      <c r="C19" s="122">
        <f>$C$6*E19+(D19/C5)</f>
        <v>0.4266621212121212</v>
      </c>
      <c r="D19" s="244">
        <v>0.2</v>
      </c>
      <c r="E19" s="245">
        <v>0.03</v>
      </c>
      <c r="F19" s="122">
        <f>$C$6*H19</f>
        <v>1.913312121212122</v>
      </c>
      <c r="G19" s="244"/>
      <c r="H19" s="118">
        <v>0.14</v>
      </c>
      <c r="I19" s="70"/>
      <c r="J19" s="70"/>
      <c r="K19" t="s" s="247">
        <v>56</v>
      </c>
      <c r="L19" s="124">
        <f>IF($C$7="On-Premise",M19,P19)</f>
        <v>1.366651515151515</v>
      </c>
      <c r="M19" s="122">
        <f>$C$6*O19</f>
        <v>0.4099954545454546</v>
      </c>
      <c r="N19" s="244"/>
      <c r="O19" s="245">
        <v>0.03</v>
      </c>
      <c r="P19" s="122">
        <f>$C$6*R19</f>
        <v>1.366651515151515</v>
      </c>
      <c r="Q19" s="244"/>
      <c r="R19" s="118">
        <v>0.1</v>
      </c>
      <c r="S19" s="70"/>
      <c r="T19" s="70"/>
      <c r="U19" s="70"/>
      <c r="V19" s="70"/>
      <c r="W19" s="70"/>
      <c r="X19" s="70"/>
    </row>
    <row r="20" ht="19" customHeight="1">
      <c r="A20" t="s" s="247">
        <v>57</v>
      </c>
      <c r="B20" s="124">
        <f>IF($C$7="On-Premise",C20,F20)</f>
        <v>0</v>
      </c>
      <c r="C20" s="135"/>
      <c r="D20" s="244"/>
      <c r="E20" s="245"/>
      <c r="F20" s="246"/>
      <c r="G20" s="244"/>
      <c r="H20" s="118"/>
      <c r="I20" s="70"/>
      <c r="J20" s="70"/>
      <c r="K20" t="s" s="247">
        <v>57</v>
      </c>
      <c r="L20" s="124">
        <f>IF($C$7="On-Premise",M20,P20)</f>
        <v>0</v>
      </c>
      <c r="M20" s="135"/>
      <c r="N20" s="244"/>
      <c r="O20" s="245"/>
      <c r="P20" s="246"/>
      <c r="Q20" s="244"/>
      <c r="R20" s="118"/>
      <c r="S20" s="70"/>
      <c r="T20" s="70"/>
      <c r="U20" s="70"/>
      <c r="V20" s="70"/>
      <c r="W20" s="70"/>
      <c r="X20" s="70"/>
    </row>
    <row r="21" ht="19" customHeight="1">
      <c r="A21" t="s" s="247">
        <v>58</v>
      </c>
      <c r="B21" s="124">
        <f>IF($C$7="On-Premise",C21,F21)</f>
        <v>0</v>
      </c>
      <c r="C21" s="135"/>
      <c r="D21" s="244"/>
      <c r="E21" s="245"/>
      <c r="F21" s="246"/>
      <c r="G21" s="244"/>
      <c r="H21" s="118"/>
      <c r="I21" s="70"/>
      <c r="J21" s="70"/>
      <c r="K21" t="s" s="247">
        <v>58</v>
      </c>
      <c r="L21" s="124">
        <f>IF($C$7="On-Premise",M21,P21)</f>
        <v>0</v>
      </c>
      <c r="M21" s="135"/>
      <c r="N21" s="244"/>
      <c r="O21" s="245"/>
      <c r="P21" s="246"/>
      <c r="Q21" s="244"/>
      <c r="R21" s="118"/>
      <c r="S21" s="70"/>
      <c r="T21" s="70"/>
      <c r="U21" s="70"/>
      <c r="V21" s="70"/>
      <c r="W21" s="70"/>
      <c r="X21" s="70"/>
    </row>
    <row r="22" ht="19" customHeight="1">
      <c r="A22" t="s" s="247">
        <v>59</v>
      </c>
      <c r="B22" s="124">
        <f>IF($C$7="On-Premise",C22,F22)</f>
        <v>0</v>
      </c>
      <c r="C22" s="135"/>
      <c r="D22" s="244"/>
      <c r="E22" s="245"/>
      <c r="F22" s="246"/>
      <c r="G22" s="244"/>
      <c r="H22" s="118"/>
      <c r="I22" s="70"/>
      <c r="J22" s="70"/>
      <c r="K22" t="s" s="247">
        <v>59</v>
      </c>
      <c r="L22" s="124">
        <f>IF($C$7="On-Premise",M22,P22)</f>
        <v>0</v>
      </c>
      <c r="M22" s="135"/>
      <c r="N22" s="244"/>
      <c r="O22" s="245"/>
      <c r="P22" s="246"/>
      <c r="Q22" s="244"/>
      <c r="R22" s="118"/>
      <c r="S22" s="70"/>
      <c r="T22" s="70"/>
      <c r="U22" s="70"/>
      <c r="V22" s="70"/>
      <c r="W22" s="70"/>
      <c r="X22" s="70"/>
    </row>
    <row r="23" ht="19" customHeight="1">
      <c r="A23" t="s" s="247">
        <v>60</v>
      </c>
      <c r="B23" s="124">
        <f>IF($C$7="On-Premise",C23,F23)</f>
        <v>0</v>
      </c>
      <c r="C23" s="135"/>
      <c r="D23" s="244"/>
      <c r="E23" s="245"/>
      <c r="F23" s="246"/>
      <c r="G23" s="244"/>
      <c r="H23" s="118"/>
      <c r="I23" s="70"/>
      <c r="J23" s="70"/>
      <c r="K23" t="s" s="247">
        <v>60</v>
      </c>
      <c r="L23" s="124">
        <f>IF($C$7="On-Premise",M23,P23)</f>
        <v>0</v>
      </c>
      <c r="M23" s="135"/>
      <c r="N23" s="244"/>
      <c r="O23" s="245"/>
      <c r="P23" s="246"/>
      <c r="Q23" s="244"/>
      <c r="R23" s="118"/>
      <c r="S23" s="70"/>
      <c r="T23" s="70"/>
      <c r="U23" s="70"/>
      <c r="V23" s="70"/>
      <c r="W23" s="70"/>
      <c r="X23" s="70"/>
    </row>
    <row r="24" ht="19" customHeight="1">
      <c r="A24" t="s" s="247">
        <v>61</v>
      </c>
      <c r="B24" s="124">
        <f>IF($C$7="On-Premise",C24,F24)</f>
        <v>1.366651515151515</v>
      </c>
      <c r="C24" s="122">
        <f>$C$6*E24</f>
        <v>1.093321212121212</v>
      </c>
      <c r="D24" s="244"/>
      <c r="E24" s="245">
        <v>0.08</v>
      </c>
      <c r="F24" s="122">
        <f>$C$6*H24</f>
        <v>1.366651515151515</v>
      </c>
      <c r="G24" s="244"/>
      <c r="H24" s="118">
        <v>0.1</v>
      </c>
      <c r="I24" s="70"/>
      <c r="J24" s="70"/>
      <c r="K24" t="s" s="247">
        <v>61</v>
      </c>
      <c r="L24" s="124">
        <f>IF($C$7="On-Premise",M24,P24)</f>
        <v>1.366651515151515</v>
      </c>
      <c r="M24" s="122">
        <f>$C$6*O24</f>
        <v>1.093321212121212</v>
      </c>
      <c r="N24" s="244"/>
      <c r="O24" s="245">
        <v>0.08</v>
      </c>
      <c r="P24" s="122">
        <f>$C$6*R24</f>
        <v>1.366651515151515</v>
      </c>
      <c r="Q24" s="244"/>
      <c r="R24" s="118">
        <v>0.1</v>
      </c>
      <c r="S24" s="70"/>
      <c r="T24" s="70"/>
      <c r="U24" s="70"/>
      <c r="V24" s="70"/>
      <c r="W24" s="70"/>
      <c r="X24" s="70"/>
    </row>
    <row r="25" ht="19" customHeight="1">
      <c r="A25" t="s" s="247">
        <v>62</v>
      </c>
      <c r="B25" s="124">
        <f>IF($C$7="On-Premise",C25,F25)</f>
        <v>0</v>
      </c>
      <c r="C25" s="135"/>
      <c r="D25" s="244"/>
      <c r="E25" s="245"/>
      <c r="F25" s="246"/>
      <c r="G25" s="244"/>
      <c r="H25" s="118"/>
      <c r="I25" s="70"/>
      <c r="J25" s="70"/>
      <c r="K25" t="s" s="247">
        <v>62</v>
      </c>
      <c r="L25" s="124">
        <f>IF($C$7="On-Premise",M25,P25)</f>
        <v>0</v>
      </c>
      <c r="M25" s="135"/>
      <c r="N25" s="244"/>
      <c r="O25" s="245"/>
      <c r="P25" s="246"/>
      <c r="Q25" s="244"/>
      <c r="R25" s="118"/>
      <c r="S25" s="70"/>
      <c r="T25" s="70"/>
      <c r="U25" s="70"/>
      <c r="V25" s="70"/>
      <c r="W25" s="70"/>
      <c r="X25" s="70"/>
    </row>
    <row r="26" ht="19" customHeight="1">
      <c r="A26" t="s" s="247">
        <v>63</v>
      </c>
      <c r="B26" s="124">
        <f>IF($C$7="On-Premise",C26,F26)</f>
        <v>1.691546478508975</v>
      </c>
      <c r="C26" s="135"/>
      <c r="D26" s="244"/>
      <c r="E26" s="245"/>
      <c r="F26" s="122">
        <f>I26*C3</f>
        <v>1.691546478508975</v>
      </c>
      <c r="G26" s="244"/>
      <c r="H26" s="118"/>
      <c r="I26" s="227">
        <f>(6.67/100)/$C$11</f>
        <v>0.002255395304678633</v>
      </c>
      <c r="J26" s="70"/>
      <c r="K26" t="s" s="247">
        <v>63</v>
      </c>
      <c r="L26" s="124">
        <f>IF($C$7="On-Premise",M26,P26)</f>
        <v>0.4228866196272437</v>
      </c>
      <c r="M26" s="135"/>
      <c r="N26" s="244"/>
      <c r="O26" s="245"/>
      <c r="P26" s="122">
        <f>S26*C3</f>
        <v>0.4228866196272437</v>
      </c>
      <c r="Q26" s="244"/>
      <c r="R26" s="118"/>
      <c r="S26" s="227">
        <f>(6.67/100)/(C11*4)</f>
        <v>0.0005638488261696582</v>
      </c>
      <c r="T26" s="70"/>
      <c r="U26" s="70"/>
      <c r="V26" s="70"/>
      <c r="W26" s="70"/>
      <c r="X26" s="70"/>
    </row>
    <row r="27" ht="19" customHeight="1">
      <c r="A27" t="s" s="247">
        <v>64</v>
      </c>
      <c r="B27" s="124">
        <f>IF($C$7="On-Premise",C27,F27)</f>
        <v>0</v>
      </c>
      <c r="C27" s="135"/>
      <c r="D27" s="244"/>
      <c r="E27" s="245"/>
      <c r="F27" s="246"/>
      <c r="G27" s="244"/>
      <c r="H27" s="118"/>
      <c r="I27" s="70"/>
      <c r="J27" s="70"/>
      <c r="K27" t="s" s="247">
        <v>64</v>
      </c>
      <c r="L27" s="124">
        <f>IF($C$7="On-Premise",M27,P27)</f>
        <v>0</v>
      </c>
      <c r="M27" s="135"/>
      <c r="N27" s="244"/>
      <c r="O27" s="245"/>
      <c r="P27" s="246"/>
      <c r="Q27" s="244"/>
      <c r="R27" s="118"/>
      <c r="S27" s="70"/>
      <c r="T27" s="70"/>
      <c r="U27" s="70"/>
      <c r="V27" s="70"/>
      <c r="W27" s="70"/>
      <c r="X27" s="70"/>
    </row>
    <row r="28" ht="19" customHeight="1">
      <c r="A28" t="s" s="247">
        <v>65</v>
      </c>
      <c r="B28" s="124">
        <f>IF($C$7="On-Premise",C28,F28)</f>
        <v>0</v>
      </c>
      <c r="C28" s="135"/>
      <c r="D28" s="244"/>
      <c r="E28" s="245"/>
      <c r="F28" s="246"/>
      <c r="G28" s="244"/>
      <c r="H28" s="118"/>
      <c r="I28" s="70"/>
      <c r="J28" s="70"/>
      <c r="K28" t="s" s="247">
        <v>65</v>
      </c>
      <c r="L28" s="124">
        <f>IF($C$7="On-Premise",M28,P28)</f>
        <v>0</v>
      </c>
      <c r="M28" s="135"/>
      <c r="N28" s="244"/>
      <c r="O28" s="245"/>
      <c r="P28" s="246"/>
      <c r="Q28" s="244"/>
      <c r="R28" s="118"/>
      <c r="S28" s="70"/>
      <c r="T28" s="70"/>
      <c r="U28" s="70"/>
      <c r="V28" s="70"/>
      <c r="W28" s="70"/>
      <c r="X28" s="70"/>
    </row>
    <row r="29" ht="19" customHeight="1">
      <c r="A29" t="s" s="247">
        <v>66</v>
      </c>
      <c r="B29" s="124">
        <f>IF($C$7="On-Premise",C29,F29)</f>
        <v>0</v>
      </c>
      <c r="C29" s="135"/>
      <c r="D29" s="244"/>
      <c r="E29" s="245"/>
      <c r="F29" s="246"/>
      <c r="G29" s="244"/>
      <c r="H29" s="118"/>
      <c r="I29" s="70"/>
      <c r="J29" s="70"/>
      <c r="K29" t="s" s="247">
        <v>66</v>
      </c>
      <c r="L29" s="124">
        <f>IF($C$7="On-Premise",M29,P29)</f>
        <v>0</v>
      </c>
      <c r="M29" s="135"/>
      <c r="N29" s="244"/>
      <c r="O29" s="245"/>
      <c r="P29" s="246"/>
      <c r="Q29" s="244"/>
      <c r="R29" s="118"/>
      <c r="S29" s="70"/>
      <c r="T29" s="70"/>
      <c r="U29" s="70"/>
      <c r="V29" s="70"/>
      <c r="W29" s="70"/>
      <c r="X29" s="70"/>
    </row>
    <row r="30" ht="19" customHeight="1">
      <c r="A30" t="s" s="247">
        <v>67</v>
      </c>
      <c r="B30" s="124">
        <f>IF($C$7="On-Premise",C30,F30)</f>
        <v>0</v>
      </c>
      <c r="C30" s="135"/>
      <c r="D30" s="244"/>
      <c r="E30" s="245"/>
      <c r="F30" s="246"/>
      <c r="G30" s="244"/>
      <c r="H30" s="118"/>
      <c r="I30" s="70"/>
      <c r="J30" s="70"/>
      <c r="K30" t="s" s="247">
        <v>67</v>
      </c>
      <c r="L30" s="124">
        <f>IF($C$7="On-Premise",M30,P30)</f>
        <v>0</v>
      </c>
      <c r="M30" s="135"/>
      <c r="N30" s="244"/>
      <c r="O30" s="245"/>
      <c r="P30" s="246"/>
      <c r="Q30" s="244"/>
      <c r="R30" s="118"/>
      <c r="S30" s="70"/>
      <c r="T30" s="70"/>
      <c r="U30" s="70"/>
      <c r="V30" s="70"/>
      <c r="W30" s="70"/>
      <c r="X30" s="70"/>
    </row>
    <row r="31" ht="19" customHeight="1">
      <c r="A31" t="s" s="247">
        <v>68</v>
      </c>
      <c r="B31" s="124">
        <f>IF($C$7="On-Premise",C31,F31)</f>
        <v>0</v>
      </c>
      <c r="C31" s="135"/>
      <c r="D31" s="244"/>
      <c r="E31" s="245"/>
      <c r="F31" s="246"/>
      <c r="G31" s="244"/>
      <c r="H31" s="118"/>
      <c r="I31" s="70"/>
      <c r="J31" s="70"/>
      <c r="K31" t="s" s="247">
        <v>68</v>
      </c>
      <c r="L31" s="124">
        <f>IF($C$7="On-Premise",M31,P31)</f>
        <v>0</v>
      </c>
      <c r="M31" s="135"/>
      <c r="N31" s="244"/>
      <c r="O31" s="245"/>
      <c r="P31" s="246"/>
      <c r="Q31" s="244"/>
      <c r="R31" s="118"/>
      <c r="S31" s="70"/>
      <c r="T31" s="70"/>
      <c r="U31" s="70"/>
      <c r="V31" s="70"/>
      <c r="W31" s="70"/>
      <c r="X31" s="70"/>
    </row>
    <row r="32" ht="19" customHeight="1">
      <c r="A32" t="s" s="247">
        <v>69</v>
      </c>
      <c r="B32" s="124">
        <f>IF($C$7="On-Premise",C32,F32)</f>
        <v>0</v>
      </c>
      <c r="C32" s="135"/>
      <c r="D32" s="244"/>
      <c r="E32" s="245"/>
      <c r="F32" s="246"/>
      <c r="G32" s="244"/>
      <c r="H32" s="118"/>
      <c r="I32" s="70"/>
      <c r="J32" s="70"/>
      <c r="K32" t="s" s="247">
        <v>69</v>
      </c>
      <c r="L32" s="124">
        <f>IF($C$7="On-Premise",M32,P32)</f>
        <v>0</v>
      </c>
      <c r="M32" s="135"/>
      <c r="N32" s="244"/>
      <c r="O32" s="245"/>
      <c r="P32" s="246"/>
      <c r="Q32" s="244"/>
      <c r="R32" s="118"/>
      <c r="S32" s="70"/>
      <c r="T32" s="70"/>
      <c r="U32" s="70"/>
      <c r="V32" s="70"/>
      <c r="W32" s="70"/>
      <c r="X32" s="70"/>
    </row>
    <row r="33" ht="19" customHeight="1">
      <c r="A33" t="s" s="247">
        <v>70</v>
      </c>
      <c r="B33" s="124">
        <f>IF($C$7="On-Premise",C33,F33)</f>
        <v>0</v>
      </c>
      <c r="C33" s="135"/>
      <c r="D33" s="244"/>
      <c r="E33" s="245"/>
      <c r="F33" s="246"/>
      <c r="G33" s="244"/>
      <c r="H33" s="118"/>
      <c r="I33" s="70"/>
      <c r="J33" s="70"/>
      <c r="K33" t="s" s="247">
        <v>70</v>
      </c>
      <c r="L33" s="124">
        <f>IF($C$7="On-Premise",M33,P33)</f>
        <v>0</v>
      </c>
      <c r="M33" s="135"/>
      <c r="N33" s="244"/>
      <c r="O33" s="245"/>
      <c r="P33" s="246"/>
      <c r="Q33" s="244"/>
      <c r="R33" s="118"/>
      <c r="S33" s="70"/>
      <c r="T33" s="70"/>
      <c r="U33" s="70"/>
      <c r="V33" s="70"/>
      <c r="W33" s="70"/>
      <c r="X33" s="70"/>
    </row>
    <row r="34" ht="19" customHeight="1">
      <c r="A34" t="s" s="247">
        <v>71</v>
      </c>
      <c r="B34" s="124">
        <f>IF($C$7="On-Premise",C34,F34)</f>
        <v>0</v>
      </c>
      <c r="C34" s="135"/>
      <c r="D34" s="244"/>
      <c r="E34" s="245"/>
      <c r="F34" s="246"/>
      <c r="G34" s="244"/>
      <c r="H34" s="118"/>
      <c r="I34" s="70"/>
      <c r="J34" s="70"/>
      <c r="K34" t="s" s="247">
        <v>71</v>
      </c>
      <c r="L34" s="124">
        <f>IF($C$7="On-Premise",M34,P34)</f>
        <v>0</v>
      </c>
      <c r="M34" s="135"/>
      <c r="N34" s="244"/>
      <c r="O34" s="245"/>
      <c r="P34" s="246"/>
      <c r="Q34" s="244"/>
      <c r="R34" s="118"/>
      <c r="S34" s="70"/>
      <c r="T34" s="70"/>
      <c r="U34" s="70"/>
      <c r="V34" s="70"/>
      <c r="W34" s="70"/>
      <c r="X34" s="70"/>
    </row>
    <row r="35" ht="19" customHeight="1">
      <c r="A35" t="s" s="247">
        <v>72</v>
      </c>
      <c r="B35" s="124">
        <f>IF($C$7="On-Premise",C35,F35)</f>
        <v>1.366651515151515</v>
      </c>
      <c r="C35" s="122">
        <f>$C$6*E35</f>
        <v>1.093321212121212</v>
      </c>
      <c r="D35" s="244"/>
      <c r="E35" s="245">
        <v>0.08</v>
      </c>
      <c r="F35" s="122">
        <f>$C$6*H35</f>
        <v>1.366651515151515</v>
      </c>
      <c r="G35" s="244"/>
      <c r="H35" s="118">
        <v>0.1</v>
      </c>
      <c r="I35" s="70"/>
      <c r="J35" s="70"/>
      <c r="K35" t="s" s="247">
        <v>72</v>
      </c>
      <c r="L35" s="124">
        <f>IF($C$7="On-Premise",M35,P35)</f>
        <v>1.366651515151515</v>
      </c>
      <c r="M35" s="122">
        <f>$C$6*O35</f>
        <v>1.093321212121212</v>
      </c>
      <c r="N35" s="244"/>
      <c r="O35" s="245">
        <v>0.08</v>
      </c>
      <c r="P35" s="122">
        <f>$C$6*R35</f>
        <v>1.366651515151515</v>
      </c>
      <c r="Q35" s="244"/>
      <c r="R35" s="118">
        <v>0.1</v>
      </c>
      <c r="S35" s="70"/>
      <c r="T35" s="70"/>
      <c r="U35" s="70"/>
      <c r="V35" s="70"/>
      <c r="W35" s="70"/>
      <c r="X35" s="70"/>
    </row>
    <row r="36" ht="19" customHeight="1">
      <c r="A36" t="s" s="247">
        <v>73</v>
      </c>
      <c r="B36" s="124">
        <f>IF($C$7="On-Premise",C36,F36)</f>
        <v>0</v>
      </c>
      <c r="C36" s="135"/>
      <c r="D36" s="244"/>
      <c r="E36" s="245"/>
      <c r="F36" s="246"/>
      <c r="G36" s="244"/>
      <c r="H36" s="118"/>
      <c r="I36" s="70"/>
      <c r="J36" s="70"/>
      <c r="K36" t="s" s="247">
        <v>73</v>
      </c>
      <c r="L36" s="124">
        <f>IF($C$7="On-Premise",M36,P36)</f>
        <v>0</v>
      </c>
      <c r="M36" s="135"/>
      <c r="N36" s="244"/>
      <c r="O36" s="245"/>
      <c r="P36" s="246"/>
      <c r="Q36" s="244"/>
      <c r="R36" s="118"/>
      <c r="S36" s="70"/>
      <c r="T36" s="70"/>
      <c r="U36" s="70"/>
      <c r="V36" s="70"/>
      <c r="W36" s="70"/>
      <c r="X36" s="70"/>
    </row>
    <row r="37" ht="19" customHeight="1">
      <c r="A37" t="s" s="247">
        <v>74</v>
      </c>
      <c r="B37" s="124">
        <f>IF($C$7="On-Premise",C37,F37)</f>
        <v>0</v>
      </c>
      <c r="C37" s="135"/>
      <c r="D37" s="244"/>
      <c r="E37" s="245"/>
      <c r="F37" s="246"/>
      <c r="G37" s="244"/>
      <c r="H37" s="118"/>
      <c r="I37" s="70"/>
      <c r="J37" s="70"/>
      <c r="K37" t="s" s="247">
        <v>74</v>
      </c>
      <c r="L37" s="124">
        <f>IF($C$7="On-Premise",M37,P37)</f>
        <v>0</v>
      </c>
      <c r="M37" s="135"/>
      <c r="N37" s="244"/>
      <c r="O37" s="245"/>
      <c r="P37" s="246"/>
      <c r="Q37" s="244"/>
      <c r="R37" s="118"/>
      <c r="S37" s="70"/>
      <c r="T37" s="70"/>
      <c r="U37" s="70"/>
      <c r="V37" s="70"/>
      <c r="W37" s="70"/>
      <c r="X37" s="70"/>
    </row>
    <row r="38" ht="19" customHeight="1">
      <c r="A38" t="s" s="247">
        <v>75</v>
      </c>
      <c r="B38" s="124">
        <f>IF($C$7="On-Premise",C38,F38)</f>
        <v>0</v>
      </c>
      <c r="C38" s="135"/>
      <c r="D38" s="244"/>
      <c r="E38" s="245"/>
      <c r="F38" s="246"/>
      <c r="G38" s="244"/>
      <c r="H38" s="118"/>
      <c r="I38" s="70"/>
      <c r="J38" s="70"/>
      <c r="K38" t="s" s="247">
        <v>75</v>
      </c>
      <c r="L38" s="124">
        <f>IF($C$7="On-Premise",M38,P38)</f>
        <v>0</v>
      </c>
      <c r="M38" s="135"/>
      <c r="N38" s="244"/>
      <c r="O38" s="245"/>
      <c r="P38" s="246"/>
      <c r="Q38" s="244"/>
      <c r="R38" s="118"/>
      <c r="S38" s="70"/>
      <c r="T38" s="70"/>
      <c r="U38" s="70"/>
      <c r="V38" s="70"/>
      <c r="W38" s="70"/>
      <c r="X38" s="70"/>
    </row>
    <row r="39" ht="19" customHeight="1">
      <c r="A39" t="s" s="247">
        <v>76</v>
      </c>
      <c r="B39" s="124">
        <f>IF($C$7="On-Premise",C39,F39)</f>
        <v>0</v>
      </c>
      <c r="C39" s="135"/>
      <c r="D39" s="244"/>
      <c r="E39" s="245"/>
      <c r="F39" s="246"/>
      <c r="G39" s="244"/>
      <c r="H39" s="118"/>
      <c r="I39" s="70"/>
      <c r="J39" s="70"/>
      <c r="K39" t="s" s="247">
        <v>76</v>
      </c>
      <c r="L39" s="124">
        <f>IF($C$7="On-Premise",M39,P39)</f>
        <v>0</v>
      </c>
      <c r="M39" s="135"/>
      <c r="N39" s="244"/>
      <c r="O39" s="245"/>
      <c r="P39" s="246"/>
      <c r="Q39" s="244"/>
      <c r="R39" s="118"/>
      <c r="S39" s="70"/>
      <c r="T39" s="70"/>
      <c r="U39" s="70"/>
      <c r="V39" s="70"/>
      <c r="W39" s="70"/>
      <c r="X39" s="70"/>
    </row>
    <row r="40" ht="19" customHeight="1">
      <c r="A40" t="s" s="247">
        <v>77</v>
      </c>
      <c r="B40" s="124">
        <f>IF($C$7="On-Premise",C40,F40)</f>
        <v>0</v>
      </c>
      <c r="C40" s="135"/>
      <c r="D40" s="244"/>
      <c r="E40" s="245"/>
      <c r="F40" s="246"/>
      <c r="G40" s="244"/>
      <c r="H40" s="118"/>
      <c r="I40" s="70"/>
      <c r="J40" s="70"/>
      <c r="K40" t="s" s="247">
        <v>77</v>
      </c>
      <c r="L40" s="124">
        <f>IF($C$7="On-Premise",M40,P40)</f>
        <v>0.6833257575757576</v>
      </c>
      <c r="M40" s="135"/>
      <c r="N40" s="244"/>
      <c r="O40" s="245"/>
      <c r="P40" s="122">
        <f>$C$6*R40</f>
        <v>0.6833257575757576</v>
      </c>
      <c r="Q40" s="244"/>
      <c r="R40" s="118">
        <v>0.05</v>
      </c>
      <c r="S40" s="70"/>
      <c r="T40" s="70"/>
      <c r="U40" s="70"/>
      <c r="V40" s="70"/>
      <c r="W40" s="70"/>
      <c r="X40" s="70"/>
    </row>
    <row r="41" ht="19" customHeight="1">
      <c r="A41" t="s" s="247">
        <v>78</v>
      </c>
      <c r="B41" s="124">
        <f>IF($C$7="On-Premise",C41,F41)</f>
        <v>0</v>
      </c>
      <c r="C41" s="135"/>
      <c r="D41" s="244"/>
      <c r="E41" s="245"/>
      <c r="F41" s="246"/>
      <c r="G41" s="244"/>
      <c r="H41" s="118"/>
      <c r="I41" s="70"/>
      <c r="J41" s="70"/>
      <c r="K41" t="s" s="247">
        <v>78</v>
      </c>
      <c r="L41" s="124">
        <f>IF($C$7="On-Premise",M41,P41)</f>
        <v>0</v>
      </c>
      <c r="M41" s="135"/>
      <c r="N41" s="244"/>
      <c r="O41" s="245"/>
      <c r="P41" s="246"/>
      <c r="Q41" s="244"/>
      <c r="R41" s="118"/>
      <c r="S41" s="70"/>
      <c r="T41" s="70"/>
      <c r="U41" s="70"/>
      <c r="V41" s="70"/>
      <c r="W41" s="70"/>
      <c r="X41" s="70"/>
    </row>
    <row r="42" ht="19" customHeight="1">
      <c r="A42" t="s" s="247">
        <v>79</v>
      </c>
      <c r="B42" s="124">
        <f>IF($C$7="On-Premise",C42,F42)</f>
        <v>1.229986363636364</v>
      </c>
      <c r="C42" s="122">
        <f>$C$6*E42</f>
        <v>1.229986363636364</v>
      </c>
      <c r="D42" s="244"/>
      <c r="E42" s="245">
        <v>0.09</v>
      </c>
      <c r="F42" s="122">
        <f>$C$6*H42</f>
        <v>1.229986363636364</v>
      </c>
      <c r="G42" s="244"/>
      <c r="H42" s="118">
        <v>0.09</v>
      </c>
      <c r="I42" s="70"/>
      <c r="J42" s="70"/>
      <c r="K42" t="s" s="247">
        <v>79</v>
      </c>
      <c r="L42" s="124">
        <f>IF($C$7="On-Premise",M42,P42)</f>
        <v>1.229986363636364</v>
      </c>
      <c r="M42" s="122">
        <f>$C$6*O42</f>
        <v>1.229986363636364</v>
      </c>
      <c r="N42" s="244"/>
      <c r="O42" s="245">
        <v>0.09</v>
      </c>
      <c r="P42" s="122">
        <f>$C$6*R42</f>
        <v>1.229986363636364</v>
      </c>
      <c r="Q42" s="244"/>
      <c r="R42" s="118">
        <v>0.09</v>
      </c>
      <c r="S42" s="70"/>
      <c r="T42" s="70"/>
      <c r="U42" s="70"/>
      <c r="V42" s="70"/>
      <c r="W42" s="70"/>
      <c r="X42" s="70"/>
    </row>
    <row r="43" ht="19" customHeight="1">
      <c r="A43" t="s" s="247">
        <v>80</v>
      </c>
      <c r="B43" s="124">
        <f>IF($C$7="On-Premise",C43,F43)</f>
        <v>0</v>
      </c>
      <c r="C43" s="135"/>
      <c r="D43" s="244"/>
      <c r="E43" s="245"/>
      <c r="F43" s="246"/>
      <c r="G43" s="244"/>
      <c r="H43" s="118"/>
      <c r="I43" s="70"/>
      <c r="J43" s="70"/>
      <c r="K43" t="s" s="247">
        <v>80</v>
      </c>
      <c r="L43" s="124">
        <f>IF($C$7="On-Premise",M43,P43)</f>
        <v>0</v>
      </c>
      <c r="M43" s="135"/>
      <c r="N43" s="244"/>
      <c r="O43" s="245"/>
      <c r="P43" s="246"/>
      <c r="Q43" s="244"/>
      <c r="R43" s="118"/>
      <c r="S43" s="70"/>
      <c r="T43" s="70"/>
      <c r="U43" s="70"/>
      <c r="V43" s="70"/>
      <c r="W43" s="70"/>
      <c r="X43" s="70"/>
    </row>
    <row r="44" ht="19" customHeight="1">
      <c r="A44" t="s" s="247">
        <v>81</v>
      </c>
      <c r="B44" s="124">
        <f>IF($C$7="On-Premise",C44,F44)</f>
        <v>0</v>
      </c>
      <c r="C44" s="135"/>
      <c r="D44" s="244"/>
      <c r="E44" s="245"/>
      <c r="F44" s="246"/>
      <c r="G44" s="244"/>
      <c r="H44" s="118"/>
      <c r="I44" s="70"/>
      <c r="J44" s="70"/>
      <c r="K44" t="s" s="247">
        <v>81</v>
      </c>
      <c r="L44" s="124">
        <f>IF($C$7="On-Premise",M44,P44)</f>
        <v>0</v>
      </c>
      <c r="M44" s="135"/>
      <c r="N44" s="244"/>
      <c r="O44" s="245"/>
      <c r="P44" s="246"/>
      <c r="Q44" s="244"/>
      <c r="R44" s="118"/>
      <c r="S44" s="70"/>
      <c r="T44" s="70"/>
      <c r="U44" s="70"/>
      <c r="V44" s="70"/>
      <c r="W44" s="70"/>
      <c r="X44" s="70"/>
    </row>
    <row r="45" ht="19" customHeight="1">
      <c r="A45" t="s" s="247">
        <v>82</v>
      </c>
      <c r="B45" s="124">
        <f>IF($C$7="On-Premise",C45,F45)</f>
        <v>0</v>
      </c>
      <c r="C45" s="135"/>
      <c r="D45" s="244"/>
      <c r="E45" s="245"/>
      <c r="F45" s="246"/>
      <c r="G45" s="244"/>
      <c r="H45" s="118"/>
      <c r="I45" s="70"/>
      <c r="J45" s="70"/>
      <c r="K45" t="s" s="247">
        <v>82</v>
      </c>
      <c r="L45" s="124">
        <f>IF($C$7="On-Premise",M45,P45)</f>
        <v>0</v>
      </c>
      <c r="M45" s="135"/>
      <c r="N45" s="244"/>
      <c r="O45" s="245"/>
      <c r="P45" s="246"/>
      <c r="Q45" s="244"/>
      <c r="R45" s="118"/>
      <c r="S45" s="70"/>
      <c r="T45" s="70"/>
      <c r="U45" s="70"/>
      <c r="V45" s="70"/>
      <c r="W45" s="70"/>
      <c r="X45" s="70"/>
    </row>
    <row r="46" ht="19" customHeight="1">
      <c r="A46" t="s" s="247">
        <v>83</v>
      </c>
      <c r="B46" s="124">
        <f>IF($C$7="On-Premise",C46,F46)</f>
        <v>0</v>
      </c>
      <c r="C46" s="135"/>
      <c r="D46" s="244"/>
      <c r="E46" s="245"/>
      <c r="F46" s="246"/>
      <c r="G46" s="244"/>
      <c r="H46" s="118"/>
      <c r="I46" s="70"/>
      <c r="J46" s="70"/>
      <c r="K46" t="s" s="247">
        <v>83</v>
      </c>
      <c r="L46" s="124">
        <f>IF($C$7="On-Premise",M46,P46)</f>
        <v>0</v>
      </c>
      <c r="M46" s="135"/>
      <c r="N46" s="244"/>
      <c r="O46" s="245"/>
      <c r="P46" s="246"/>
      <c r="Q46" s="244"/>
      <c r="R46" s="118"/>
      <c r="S46" s="70"/>
      <c r="T46" s="70"/>
      <c r="U46" s="70"/>
      <c r="V46" s="70"/>
      <c r="W46" s="70"/>
      <c r="X46" s="70"/>
    </row>
    <row r="47" ht="19" customHeight="1">
      <c r="A47" t="s" s="247">
        <v>84</v>
      </c>
      <c r="B47" s="124">
        <f>IF($C$7="On-Premise",C47,F47)</f>
        <v>0.9566560606060608</v>
      </c>
      <c r="C47" s="122">
        <f>$C$6*E47</f>
        <v>0.9566560606060608</v>
      </c>
      <c r="D47" s="244"/>
      <c r="E47" s="245">
        <v>0.07000000000000001</v>
      </c>
      <c r="F47" s="122">
        <f>$C$6*H47</f>
        <v>0.9566560606060608</v>
      </c>
      <c r="G47" s="244"/>
      <c r="H47" s="118">
        <v>0.07000000000000001</v>
      </c>
      <c r="I47" s="70"/>
      <c r="J47" s="70"/>
      <c r="K47" t="s" s="247">
        <v>84</v>
      </c>
      <c r="L47" s="124">
        <f>IF($C$7="On-Premise",M47,P47)</f>
        <v>0.9566560606060608</v>
      </c>
      <c r="M47" s="122">
        <f>$C$6*O47</f>
        <v>0.9566560606060608</v>
      </c>
      <c r="N47" s="244"/>
      <c r="O47" s="245">
        <v>0.07000000000000001</v>
      </c>
      <c r="P47" s="122">
        <f>$C$6*R47</f>
        <v>0.9566560606060608</v>
      </c>
      <c r="Q47" s="244"/>
      <c r="R47" s="118">
        <v>0.07000000000000001</v>
      </c>
      <c r="S47" s="70"/>
      <c r="T47" s="70"/>
      <c r="U47" s="70"/>
      <c r="V47" s="70"/>
      <c r="W47" s="70"/>
      <c r="X47" s="70"/>
    </row>
    <row r="48" ht="19" customHeight="1">
      <c r="A48" t="s" s="247">
        <v>85</v>
      </c>
      <c r="B48" s="124">
        <f>IF($C$7="On-Premise",C48,F48)</f>
        <v>0</v>
      </c>
      <c r="C48" s="135"/>
      <c r="D48" s="244"/>
      <c r="E48" s="245"/>
      <c r="F48" s="246"/>
      <c r="G48" s="244"/>
      <c r="H48" s="118"/>
      <c r="I48" s="70"/>
      <c r="J48" s="70"/>
      <c r="K48" t="s" s="247">
        <v>85</v>
      </c>
      <c r="L48" s="124">
        <f>IF($C$7="On-Premise",M48,P48)</f>
        <v>0</v>
      </c>
      <c r="M48" s="135"/>
      <c r="N48" s="244"/>
      <c r="O48" s="245"/>
      <c r="P48" s="246"/>
      <c r="Q48" s="244"/>
      <c r="R48" s="118"/>
      <c r="S48" s="70"/>
      <c r="T48" s="70"/>
      <c r="U48" s="70"/>
      <c r="V48" s="70"/>
      <c r="W48" s="70"/>
      <c r="X48" s="70"/>
    </row>
    <row r="49" ht="19" customHeight="1">
      <c r="A49" t="s" s="247">
        <v>86</v>
      </c>
      <c r="B49" s="124">
        <f>IF($C$7="On-Premise",C49,F49)</f>
        <v>0</v>
      </c>
      <c r="C49" s="135"/>
      <c r="D49" s="244"/>
      <c r="E49" s="245"/>
      <c r="F49" s="246"/>
      <c r="G49" s="244"/>
      <c r="H49" s="118"/>
      <c r="I49" s="70"/>
      <c r="J49" s="70"/>
      <c r="K49" t="s" s="247">
        <v>86</v>
      </c>
      <c r="L49" s="124">
        <f>IF($C$7="On-Premise",M49,P49)</f>
        <v>0</v>
      </c>
      <c r="M49" s="135"/>
      <c r="N49" s="244"/>
      <c r="O49" s="245"/>
      <c r="P49" s="246"/>
      <c r="Q49" s="244"/>
      <c r="R49" s="118"/>
      <c r="S49" s="70"/>
      <c r="T49" s="70"/>
      <c r="U49" s="70"/>
      <c r="V49" s="70"/>
      <c r="W49" s="70"/>
      <c r="X49" s="70"/>
    </row>
    <row r="50" ht="19" customHeight="1">
      <c r="A50" t="s" s="247">
        <v>87</v>
      </c>
      <c r="B50" s="124">
        <f>IF($C$7="On-Premise",C50,F50)</f>
        <v>0</v>
      </c>
      <c r="C50" s="135"/>
      <c r="D50" s="244"/>
      <c r="E50" s="245"/>
      <c r="F50" s="246"/>
      <c r="G50" s="244"/>
      <c r="H50" s="118"/>
      <c r="I50" s="70"/>
      <c r="J50" s="70"/>
      <c r="K50" t="s" s="247">
        <v>87</v>
      </c>
      <c r="L50" s="124">
        <f>IF($C$7="On-Premise",M50,P50)</f>
        <v>0</v>
      </c>
      <c r="M50" s="135"/>
      <c r="N50" s="244"/>
      <c r="O50" s="245"/>
      <c r="P50" s="246"/>
      <c r="Q50" s="244"/>
      <c r="R50" s="118"/>
      <c r="S50" s="70"/>
      <c r="T50" s="70"/>
      <c r="U50" s="70"/>
      <c r="V50" s="70"/>
      <c r="W50" s="70"/>
      <c r="X50" s="70"/>
    </row>
    <row r="51" ht="19" customHeight="1">
      <c r="A51" t="s" s="247">
        <v>88</v>
      </c>
      <c r="B51" s="124">
        <f>IF($C$7="On-Premise",C51,F51)</f>
        <v>0</v>
      </c>
      <c r="C51" s="135"/>
      <c r="D51" s="244"/>
      <c r="E51" s="245"/>
      <c r="F51" s="246"/>
      <c r="G51" s="244"/>
      <c r="H51" s="118"/>
      <c r="I51" s="70"/>
      <c r="J51" s="70"/>
      <c r="K51" t="s" s="247">
        <v>88</v>
      </c>
      <c r="L51" s="124">
        <f>IF($C$7="On-Premise",M51,P51)</f>
        <v>0</v>
      </c>
      <c r="M51" s="135"/>
      <c r="N51" s="244"/>
      <c r="O51" s="245"/>
      <c r="P51" s="246"/>
      <c r="Q51" s="244"/>
      <c r="R51" s="118"/>
      <c r="S51" s="70"/>
      <c r="T51" s="70"/>
      <c r="U51" s="70"/>
      <c r="V51" s="70"/>
      <c r="W51" s="70"/>
      <c r="X51" s="70"/>
    </row>
    <row r="52" ht="19" customHeight="1">
      <c r="A52" t="s" s="247">
        <v>89</v>
      </c>
      <c r="B52" s="124">
        <f>IF($C$7="On-Premise",C52,F52)</f>
        <v>0</v>
      </c>
      <c r="C52" s="135"/>
      <c r="D52" s="244"/>
      <c r="E52" s="245"/>
      <c r="F52" s="246"/>
      <c r="G52" s="244"/>
      <c r="H52" s="118"/>
      <c r="I52" s="70"/>
      <c r="J52" s="70"/>
      <c r="K52" t="s" s="247">
        <v>89</v>
      </c>
      <c r="L52" s="124">
        <f>IF($C$7="On-Premise",M52,P52)</f>
        <v>0</v>
      </c>
      <c r="M52" s="135"/>
      <c r="N52" s="244"/>
      <c r="O52" s="245"/>
      <c r="P52" s="246"/>
      <c r="Q52" s="244"/>
      <c r="R52" s="118"/>
      <c r="S52" s="70"/>
      <c r="T52" s="70"/>
      <c r="U52" s="70"/>
      <c r="V52" s="70"/>
      <c r="W52" s="70"/>
      <c r="X52" s="70"/>
    </row>
    <row r="53" ht="19" customHeight="1">
      <c r="A53" t="s" s="247">
        <v>90</v>
      </c>
      <c r="B53" s="124">
        <f>IF($C$7="On-Premise",C53,F53)</f>
        <v>0</v>
      </c>
      <c r="C53" s="135"/>
      <c r="D53" s="244"/>
      <c r="E53" s="245"/>
      <c r="F53" s="246"/>
      <c r="G53" s="244"/>
      <c r="H53" s="118"/>
      <c r="I53" s="70"/>
      <c r="J53" s="70"/>
      <c r="K53" t="s" s="247">
        <v>90</v>
      </c>
      <c r="L53" s="124">
        <f>IF($C$7="On-Premise",M53,P53)</f>
        <v>0</v>
      </c>
      <c r="M53" s="135"/>
      <c r="N53" s="244"/>
      <c r="O53" s="245"/>
      <c r="P53" s="246"/>
      <c r="Q53" s="244"/>
      <c r="R53" s="118"/>
      <c r="S53" s="70"/>
      <c r="T53" s="70"/>
      <c r="U53" s="70"/>
      <c r="V53" s="70"/>
      <c r="W53" s="70"/>
      <c r="X53" s="70"/>
    </row>
    <row r="54" ht="19" customHeight="1">
      <c r="A54" t="s" s="247">
        <v>130</v>
      </c>
      <c r="B54" s="124">
        <f>IF($C$7="On-Premise",C54,F54)</f>
        <v>0</v>
      </c>
      <c r="C54" s="135"/>
      <c r="D54" s="244"/>
      <c r="E54" s="245"/>
      <c r="F54" s="246"/>
      <c r="G54" s="244"/>
      <c r="H54" s="118"/>
      <c r="I54" s="70"/>
      <c r="J54" s="70"/>
      <c r="K54" t="s" s="247">
        <v>130</v>
      </c>
      <c r="L54" s="124">
        <f>IF($C$7="On-Premise",M54,P54)</f>
        <v>0</v>
      </c>
      <c r="M54" s="135"/>
      <c r="N54" s="244"/>
      <c r="O54" s="245"/>
      <c r="P54" s="246"/>
      <c r="Q54" s="244"/>
      <c r="R54" s="118"/>
      <c r="S54" s="70"/>
      <c r="T54" s="70"/>
      <c r="U54" s="70"/>
      <c r="V54" s="70"/>
      <c r="W54" s="70"/>
      <c r="X54" s="70"/>
    </row>
    <row r="55" ht="19" customHeight="1">
      <c r="A55" t="s" s="247">
        <v>92</v>
      </c>
      <c r="B55" s="124">
        <f>IF($C$7="On-Premise",C55,F55)</f>
        <v>0</v>
      </c>
      <c r="C55" s="135"/>
      <c r="D55" s="244"/>
      <c r="E55" s="245"/>
      <c r="F55" s="246"/>
      <c r="G55" s="244"/>
      <c r="H55" s="118"/>
      <c r="I55" s="70"/>
      <c r="J55" s="70"/>
      <c r="K55" t="s" s="247">
        <v>92</v>
      </c>
      <c r="L55" s="124">
        <f>IF($C$7="On-Premise",M55,P55)</f>
        <v>0</v>
      </c>
      <c r="M55" s="135"/>
      <c r="N55" s="244"/>
      <c r="O55" s="245"/>
      <c r="P55" s="246"/>
      <c r="Q55" s="244"/>
      <c r="R55" s="118"/>
      <c r="S55" s="70"/>
      <c r="T55" s="70"/>
      <c r="U55" s="70"/>
      <c r="V55" s="70"/>
      <c r="W55" s="70"/>
      <c r="X55" s="70"/>
    </row>
    <row r="56" ht="19" customHeight="1">
      <c r="A56" t="s" s="247">
        <v>93</v>
      </c>
      <c r="B56" s="124">
        <f>IF($C$7="On-Premise",C56,F56)</f>
        <v>1.77664696969697</v>
      </c>
      <c r="C56" s="135"/>
      <c r="D56" s="244"/>
      <c r="E56" s="245"/>
      <c r="F56" s="122">
        <f>$C$6*H56</f>
        <v>1.77664696969697</v>
      </c>
      <c r="G56" s="244"/>
      <c r="H56" s="118">
        <v>0.13</v>
      </c>
      <c r="I56" s="70"/>
      <c r="J56" s="70"/>
      <c r="K56" t="s" s="247">
        <v>93</v>
      </c>
      <c r="L56" s="124">
        <f>IF($C$7="On-Premise",M56,P56)</f>
        <v>2.844979545454546</v>
      </c>
      <c r="M56" s="135"/>
      <c r="N56" s="244"/>
      <c r="O56" s="245"/>
      <c r="P56" s="122">
        <f>($C$6*R56)+1</f>
        <v>2.844979545454546</v>
      </c>
      <c r="Q56" s="244"/>
      <c r="R56" s="118">
        <v>0.135</v>
      </c>
      <c r="S56" t="s" s="74">
        <v>154</v>
      </c>
      <c r="T56" s="70"/>
      <c r="U56" s="70"/>
      <c r="V56" s="70"/>
      <c r="W56" s="70"/>
      <c r="X56" s="70"/>
    </row>
    <row r="57" ht="19" customHeight="1">
      <c r="A57" t="s" s="247">
        <v>94</v>
      </c>
      <c r="B57" s="124">
        <f>IF($C$7="On-Premise",C57,F57)</f>
        <v>0</v>
      </c>
      <c r="C57" s="135"/>
      <c r="D57" s="244"/>
      <c r="E57" s="245"/>
      <c r="F57" s="246"/>
      <c r="G57" s="244"/>
      <c r="H57" s="118"/>
      <c r="I57" s="70"/>
      <c r="J57" s="70"/>
      <c r="K57" t="s" s="247">
        <v>94</v>
      </c>
      <c r="L57" s="124">
        <f>IF($C$7="On-Premise",M57,P57)</f>
        <v>0</v>
      </c>
      <c r="M57" s="135"/>
      <c r="N57" s="244"/>
      <c r="O57" s="245"/>
      <c r="P57" s="246"/>
      <c r="Q57" s="244"/>
      <c r="R57" s="118"/>
      <c r="S57" s="70"/>
      <c r="T57" s="70"/>
      <c r="U57" s="70"/>
      <c r="V57" s="70"/>
      <c r="W57" s="70"/>
      <c r="X57" s="70"/>
    </row>
    <row r="58" ht="19" customHeight="1">
      <c r="A58" t="s" s="247">
        <v>95</v>
      </c>
      <c r="B58" s="124">
        <f>IF($C$7="On-Premise",C58,F58)</f>
        <v>0</v>
      </c>
      <c r="C58" s="135"/>
      <c r="D58" s="244"/>
      <c r="E58" s="245"/>
      <c r="F58" s="246"/>
      <c r="G58" s="244"/>
      <c r="H58" s="118"/>
      <c r="I58" s="70"/>
      <c r="J58" s="70"/>
      <c r="K58" t="s" s="247">
        <v>95</v>
      </c>
      <c r="L58" s="124">
        <f>IF($C$7="On-Premise",M58,P58)</f>
        <v>0</v>
      </c>
      <c r="M58" s="135"/>
      <c r="N58" s="244"/>
      <c r="O58" s="245"/>
      <c r="P58" s="246"/>
      <c r="Q58" s="244"/>
      <c r="R58" s="118"/>
      <c r="S58" s="70"/>
      <c r="T58" s="70"/>
      <c r="U58" s="70"/>
      <c r="V58" s="70"/>
      <c r="W58" s="70"/>
      <c r="X58" s="70"/>
    </row>
    <row r="59" ht="19" customHeight="1">
      <c r="A59" t="s" s="247">
        <v>96</v>
      </c>
      <c r="B59" s="124">
        <f>IF($C$7="On-Premise",C59,F59)</f>
        <v>0</v>
      </c>
      <c r="C59" s="135"/>
      <c r="D59" s="244"/>
      <c r="E59" s="245"/>
      <c r="F59" s="246"/>
      <c r="G59" s="244"/>
      <c r="H59" s="118"/>
      <c r="I59" s="70"/>
      <c r="J59" s="70"/>
      <c r="K59" t="s" s="247">
        <v>96</v>
      </c>
      <c r="L59" s="124">
        <f>IF($C$7="On-Premise",M59,P59)</f>
        <v>0</v>
      </c>
      <c r="M59" s="135"/>
      <c r="N59" s="244"/>
      <c r="O59" s="245"/>
      <c r="P59" s="246"/>
      <c r="Q59" s="244"/>
      <c r="R59" s="118"/>
      <c r="S59" s="70"/>
      <c r="T59" s="70"/>
      <c r="U59" s="70"/>
      <c r="V59" s="70"/>
      <c r="W59" s="70"/>
      <c r="X59" s="70"/>
    </row>
    <row r="60" ht="19" customHeight="1">
      <c r="A60" t="s" s="247">
        <v>97</v>
      </c>
      <c r="B60" s="124">
        <f>IF($C$7="On-Premise",C60,F60)</f>
        <v>0.6833257575757576</v>
      </c>
      <c r="C60" s="135"/>
      <c r="D60" s="244"/>
      <c r="E60" s="245"/>
      <c r="F60" s="122">
        <f>$C$6*H60</f>
        <v>0.6833257575757576</v>
      </c>
      <c r="G60" s="244"/>
      <c r="H60" s="118">
        <v>0.05</v>
      </c>
      <c r="I60" s="70"/>
      <c r="J60" s="70"/>
      <c r="K60" t="s" s="247">
        <v>97</v>
      </c>
      <c r="L60" s="124">
        <f>IF($C$7="On-Premise",M60,P60)</f>
        <v>0</v>
      </c>
      <c r="M60" s="135"/>
      <c r="N60" s="244"/>
      <c r="O60" s="245"/>
      <c r="P60" s="246"/>
      <c r="Q60" s="244"/>
      <c r="R60" s="118"/>
      <c r="S60" s="70"/>
      <c r="T60" s="70"/>
      <c r="U60" s="70"/>
      <c r="V60" s="70"/>
      <c r="W60" s="70"/>
      <c r="X60" s="70"/>
    </row>
    <row r="61" ht="19" customHeight="1">
      <c r="A61" t="s" s="247">
        <v>98</v>
      </c>
      <c r="B61" s="124">
        <f>IF($C$7="On-Premise",C61,F61)</f>
        <v>0</v>
      </c>
      <c r="C61" s="135"/>
      <c r="D61" s="244"/>
      <c r="E61" s="245"/>
      <c r="F61" s="246"/>
      <c r="G61" s="244"/>
      <c r="H61" s="118"/>
      <c r="I61" s="70"/>
      <c r="J61" s="70"/>
      <c r="K61" t="s" s="247">
        <v>98</v>
      </c>
      <c r="L61" s="124">
        <f>IF($C$7="On-Premise",M61,P61)</f>
        <v>0</v>
      </c>
      <c r="M61" s="135"/>
      <c r="N61" s="244"/>
      <c r="O61" s="245"/>
      <c r="P61" s="246"/>
      <c r="Q61" s="244"/>
      <c r="R61" s="118"/>
      <c r="S61" s="70"/>
      <c r="T61" s="70"/>
      <c r="U61" s="70"/>
      <c r="V61" s="70"/>
      <c r="W61" s="70"/>
      <c r="X61" s="70"/>
    </row>
    <row r="62" ht="19" customHeight="1">
      <c r="A62" t="s" s="247">
        <v>99</v>
      </c>
      <c r="B62" s="124">
        <f>IF($C$7="On-Premise",C62,F62)</f>
        <v>0.0125</v>
      </c>
      <c r="C62" s="135"/>
      <c r="D62" s="244"/>
      <c r="E62" s="245"/>
      <c r="F62" s="122">
        <f>G62/C5</f>
        <v>0.0125</v>
      </c>
      <c r="G62" s="244">
        <v>0.15</v>
      </c>
      <c r="H62" s="118">
        <v>0.15</v>
      </c>
      <c r="I62" s="70"/>
      <c r="J62" s="70"/>
      <c r="K62" t="s" s="247">
        <v>99</v>
      </c>
      <c r="L62" s="124">
        <f>IF($C$7="On-Premise",M62,P62)</f>
        <v>2.049977272727273</v>
      </c>
      <c r="M62" s="135"/>
      <c r="N62" s="244"/>
      <c r="O62" s="245"/>
      <c r="P62" s="122">
        <f>$C$6*R62</f>
        <v>2.049977272727273</v>
      </c>
      <c r="Q62" s="244"/>
      <c r="R62" s="118">
        <v>0.15</v>
      </c>
      <c r="S62" s="70"/>
      <c r="T62" s="70"/>
      <c r="U62" s="70"/>
      <c r="V62" s="70"/>
      <c r="W62" s="70"/>
      <c r="X62" s="70"/>
    </row>
    <row r="63" ht="19" customHeight="1">
      <c r="A63" t="s" s="247">
        <v>100</v>
      </c>
      <c r="B63" s="124">
        <f>IF($C$7="On-Premise",C63,F63)</f>
        <v>1.913312121212122</v>
      </c>
      <c r="C63" s="135"/>
      <c r="D63" s="244"/>
      <c r="E63" s="245"/>
      <c r="F63" s="122">
        <f>$C$6*H63</f>
        <v>1.913312121212122</v>
      </c>
      <c r="G63" s="244"/>
      <c r="H63" s="118">
        <v>0.14</v>
      </c>
      <c r="I63" s="70"/>
      <c r="J63" s="70"/>
      <c r="K63" t="s" s="247">
        <v>100</v>
      </c>
      <c r="L63" s="124">
        <f>IF($C$7="On-Premise",M63,P63)</f>
        <v>1.913312121212122</v>
      </c>
      <c r="M63" s="135"/>
      <c r="N63" s="244"/>
      <c r="O63" s="245"/>
      <c r="P63" s="122">
        <f>$C$6*R63</f>
        <v>1.913312121212122</v>
      </c>
      <c r="Q63" s="244"/>
      <c r="R63" s="118">
        <v>0.14</v>
      </c>
      <c r="S63" s="70"/>
      <c r="T63" s="70"/>
      <c r="U63" s="70"/>
      <c r="V63" s="70"/>
      <c r="W63" s="70"/>
      <c r="X63" s="70"/>
    </row>
    <row r="64" ht="19" customHeight="1">
      <c r="A64" t="s" s="247">
        <v>101</v>
      </c>
      <c r="B64" s="124">
        <f>IF($C$7="On-Premise",C64,F64)</f>
        <v>0</v>
      </c>
      <c r="C64" s="135"/>
      <c r="D64" s="244"/>
      <c r="E64" s="245"/>
      <c r="F64" s="246"/>
      <c r="G64" s="244"/>
      <c r="H64" s="118"/>
      <c r="I64" s="70"/>
      <c r="J64" s="70"/>
      <c r="K64" t="s" s="247">
        <v>101</v>
      </c>
      <c r="L64" s="124">
        <f>IF($C$7="On-Premise",M64,P64)</f>
        <v>0</v>
      </c>
      <c r="M64" s="135"/>
      <c r="N64" s="244"/>
      <c r="O64" s="245"/>
      <c r="P64" s="246"/>
      <c r="Q64" s="244"/>
      <c r="R64" s="118"/>
      <c r="S64" s="70"/>
      <c r="T64" s="70"/>
      <c r="U64" s="70"/>
      <c r="V64" s="70"/>
      <c r="W64" s="70"/>
      <c r="X64" s="70"/>
    </row>
    <row r="65" ht="19" customHeight="1">
      <c r="A65" t="s" s="247">
        <v>102</v>
      </c>
      <c r="B65" s="124">
        <f>IF($C$7="On-Premise",C65,F65)</f>
        <v>0</v>
      </c>
      <c r="C65" s="135"/>
      <c r="D65" s="244"/>
      <c r="E65" s="245"/>
      <c r="F65" s="246"/>
      <c r="G65" s="244"/>
      <c r="H65" s="118"/>
      <c r="I65" s="70"/>
      <c r="J65" s="70"/>
      <c r="K65" t="s" s="247">
        <v>102</v>
      </c>
      <c r="L65" s="124">
        <f>IF($C$7="On-Premise",M65,P65)</f>
        <v>0</v>
      </c>
      <c r="M65" s="135"/>
      <c r="N65" s="244"/>
      <c r="O65" s="245"/>
      <c r="P65" s="246"/>
      <c r="Q65" s="244"/>
      <c r="R65" s="118"/>
      <c r="S65" s="70"/>
      <c r="T65" s="70"/>
      <c r="U65" s="70"/>
      <c r="V65" s="70"/>
      <c r="W65" s="70"/>
      <c r="X65" s="70"/>
    </row>
    <row r="66" ht="19" customHeight="1">
      <c r="A66" t="s" s="247">
        <v>103</v>
      </c>
      <c r="B66" s="124">
        <f>IF($C$7="On-Premise",C66,F66)</f>
        <v>1.366651515151515</v>
      </c>
      <c r="C66" s="135"/>
      <c r="D66" s="244"/>
      <c r="E66" s="245"/>
      <c r="F66" s="122">
        <f>$C$6*H66</f>
        <v>1.366651515151515</v>
      </c>
      <c r="G66" s="244"/>
      <c r="H66" s="118">
        <v>0.1</v>
      </c>
      <c r="I66" s="70"/>
      <c r="J66" s="70"/>
      <c r="K66" t="s" s="247">
        <v>103</v>
      </c>
      <c r="L66" s="124">
        <f>IF($C$7="On-Premise",M66,P66)</f>
        <v>1.366651515151515</v>
      </c>
      <c r="M66" s="135"/>
      <c r="N66" s="244"/>
      <c r="O66" s="245"/>
      <c r="P66" s="122">
        <f>$C$6*R66</f>
        <v>1.366651515151515</v>
      </c>
      <c r="Q66" s="244"/>
      <c r="R66" s="118">
        <v>0.1</v>
      </c>
      <c r="S66" s="70"/>
      <c r="T66" s="70"/>
      <c r="U66" s="70"/>
      <c r="V66" s="70"/>
      <c r="W66" s="70"/>
      <c r="X66" s="70"/>
    </row>
    <row r="67" ht="19" customHeight="1">
      <c r="A67" t="s" s="247">
        <v>104</v>
      </c>
      <c r="B67" s="124">
        <f>IF($C$7="On-Premise",C67,F67)</f>
        <v>0</v>
      </c>
      <c r="C67" s="135"/>
      <c r="D67" s="244"/>
      <c r="E67" s="245"/>
      <c r="F67" s="246"/>
      <c r="G67" s="244"/>
      <c r="H67" s="118"/>
      <c r="I67" s="70"/>
      <c r="J67" s="70"/>
      <c r="K67" t="s" s="247">
        <v>104</v>
      </c>
      <c r="L67" s="124">
        <f>IF($C$7="On-Premise",M67,P67)</f>
        <v>0</v>
      </c>
      <c r="M67" s="135"/>
      <c r="N67" s="244"/>
      <c r="O67" s="245"/>
      <c r="P67" s="246"/>
      <c r="Q67" s="244"/>
      <c r="R67" s="118"/>
      <c r="S67" s="70"/>
      <c r="T67" s="70"/>
      <c r="U67" s="70"/>
      <c r="V67" s="70"/>
      <c r="W67" s="70"/>
      <c r="X67" s="70"/>
    </row>
    <row r="68" ht="19" customHeight="1">
      <c r="A68" t="s" s="247">
        <v>105</v>
      </c>
      <c r="B68" s="124">
        <f>IF($C$7="On-Premise",C68,F68)</f>
        <v>0</v>
      </c>
      <c r="C68" s="135"/>
      <c r="D68" s="244"/>
      <c r="E68" s="245"/>
      <c r="F68" s="246"/>
      <c r="G68" s="244"/>
      <c r="H68" s="118"/>
      <c r="I68" s="70"/>
      <c r="J68" s="70"/>
      <c r="K68" t="s" s="247">
        <v>105</v>
      </c>
      <c r="L68" s="124">
        <f>IF($C$7="On-Premise",M68,P68)</f>
        <v>0</v>
      </c>
      <c r="M68" s="135"/>
      <c r="N68" s="244"/>
      <c r="O68" s="245"/>
      <c r="P68" s="246"/>
      <c r="Q68" s="244"/>
      <c r="R68" s="118"/>
      <c r="S68" s="70"/>
      <c r="T68" s="70"/>
      <c r="U68" s="70"/>
      <c r="V68" s="70"/>
      <c r="W68" s="70"/>
      <c r="X68" s="70"/>
    </row>
    <row r="69" ht="19" customHeight="1">
      <c r="A69" t="s" s="247">
        <v>106</v>
      </c>
      <c r="B69" s="124">
        <f>IF($C$7="On-Premise",C69,F69)</f>
        <v>0</v>
      </c>
      <c r="C69" s="135"/>
      <c r="D69" s="244"/>
      <c r="E69" s="245"/>
      <c r="F69" s="246"/>
      <c r="G69" s="244"/>
      <c r="H69" s="118"/>
      <c r="I69" s="70"/>
      <c r="J69" s="70"/>
      <c r="K69" t="s" s="247">
        <v>106</v>
      </c>
      <c r="L69" s="124">
        <f>IF($C$7="On-Premise",M69,P69)</f>
        <v>0</v>
      </c>
      <c r="M69" s="135"/>
      <c r="N69" s="244"/>
      <c r="O69" s="245"/>
      <c r="P69" s="246"/>
      <c r="Q69" s="244"/>
      <c r="R69" s="118"/>
      <c r="S69" s="70"/>
      <c r="T69" s="70"/>
      <c r="U69" s="70"/>
      <c r="V69" s="70"/>
      <c r="W69" s="70"/>
      <c r="X69" s="70"/>
    </row>
    <row r="70" ht="19" customHeight="1">
      <c r="A70" t="s" s="247">
        <v>107</v>
      </c>
      <c r="B70" s="124">
        <f>IF($C$7="On-Premise",C70,F70)</f>
        <v>0</v>
      </c>
      <c r="C70" s="135"/>
      <c r="D70" s="244"/>
      <c r="E70" s="245"/>
      <c r="F70" s="246"/>
      <c r="G70" s="244"/>
      <c r="H70" s="118"/>
      <c r="I70" s="70"/>
      <c r="J70" s="70"/>
      <c r="K70" t="s" s="247">
        <v>107</v>
      </c>
      <c r="L70" s="124">
        <f>IF($C$7="On-Premise",M70,P70)</f>
        <v>0</v>
      </c>
      <c r="M70" s="135"/>
      <c r="N70" s="244"/>
      <c r="O70" s="245"/>
      <c r="P70" s="246"/>
      <c r="Q70" s="244"/>
      <c r="R70" s="118"/>
      <c r="S70" s="70"/>
      <c r="T70" s="70"/>
      <c r="U70" s="70"/>
      <c r="V70" s="70"/>
      <c r="W70" s="70"/>
      <c r="X70" s="70"/>
    </row>
    <row r="71" ht="19" customHeight="1">
      <c r="A71" s="70"/>
      <c r="B71" s="164"/>
      <c r="C71" s="164"/>
      <c r="D71" s="133"/>
      <c r="E71" s="70"/>
      <c r="F71" s="164"/>
      <c r="G71" s="133"/>
      <c r="H71" s="118"/>
      <c r="I71" s="70"/>
      <c r="J71" s="70"/>
      <c r="K71" s="70"/>
      <c r="L71" s="164"/>
      <c r="M71" s="164"/>
      <c r="N71" s="133"/>
      <c r="O71" s="118"/>
      <c r="P71" s="248"/>
      <c r="Q71" s="133"/>
      <c r="R71" s="118"/>
      <c r="S71" s="70"/>
      <c r="T71" s="70"/>
      <c r="U71" s="70"/>
      <c r="V71" s="70"/>
      <c r="W71" s="70"/>
      <c r="X71" s="70"/>
    </row>
    <row r="72" ht="19" customHeight="1">
      <c r="A72" s="70"/>
      <c r="B72" s="70"/>
      <c r="C72" s="70"/>
      <c r="D72" s="133"/>
      <c r="E72" s="70"/>
      <c r="F72" s="70"/>
      <c r="G72" s="70"/>
      <c r="H72" s="70"/>
      <c r="I72" s="70"/>
      <c r="J72" s="70"/>
      <c r="K72" s="70"/>
      <c r="L72" s="70"/>
      <c r="M72" s="70"/>
      <c r="N72" s="133"/>
      <c r="O72" s="118"/>
      <c r="P72" s="118"/>
      <c r="Q72" s="133"/>
      <c r="R72" s="70"/>
      <c r="S72" s="70"/>
      <c r="T72" s="70"/>
      <c r="U72" s="70"/>
      <c r="V72" s="70"/>
      <c r="W72" s="70"/>
      <c r="X72" s="70"/>
    </row>
    <row r="73" ht="19" customHeight="1">
      <c r="A73" s="70"/>
      <c r="B73" s="70"/>
      <c r="C73" s="70"/>
      <c r="D73" s="70"/>
      <c r="E73" s="70"/>
      <c r="F73" s="70"/>
      <c r="G73" s="70"/>
      <c r="H73" s="70"/>
      <c r="I73" s="70"/>
      <c r="J73" s="70"/>
      <c r="K73" s="70"/>
      <c r="L73" s="70"/>
      <c r="M73" s="70"/>
      <c r="N73" s="133"/>
      <c r="O73" s="118"/>
      <c r="P73" s="118"/>
      <c r="Q73" s="133"/>
      <c r="R73" s="70"/>
      <c r="S73" s="70"/>
      <c r="T73" s="70"/>
      <c r="U73" s="70"/>
      <c r="V73" s="70"/>
      <c r="W73" s="70"/>
      <c r="X73" s="70"/>
    </row>
    <row r="74" ht="19" customHeight="1">
      <c r="A74" s="70"/>
      <c r="B74" s="70"/>
      <c r="C74" s="70"/>
      <c r="D74" s="70"/>
      <c r="E74" s="70"/>
      <c r="F74" s="70"/>
      <c r="G74" s="70"/>
      <c r="H74" s="70"/>
      <c r="I74" s="70"/>
      <c r="J74" s="70"/>
      <c r="K74" s="70"/>
      <c r="L74" s="70"/>
      <c r="M74" s="70"/>
      <c r="N74" s="70"/>
      <c r="O74" s="118"/>
      <c r="P74" s="118"/>
      <c r="Q74" s="70"/>
      <c r="R74" s="70"/>
      <c r="S74" s="70"/>
      <c r="T74" s="70"/>
      <c r="U74" s="70"/>
      <c r="V74" s="70"/>
      <c r="W74" s="70"/>
      <c r="X74" s="70"/>
    </row>
  </sheetData>
  <pageMargins left="0.75" right="0.75" top="1" bottom="1" header="0.5" footer="0.5"/>
  <pageSetup firstPageNumber="1" fitToHeight="1" fitToWidth="1" scale="100" useFirstPageNumber="0" orientation="portrait" pageOrder="downThenOver"/>
  <headerFooter>
    <oddFooter>&amp;L&amp;"Helvetica,Regular"&amp;12&amp;K000000	&amp;P</oddFooter>
  </headerFooter>
</worksheet>
</file>

<file path=docProps/app.xml><?xml version="1.0" encoding="utf-8"?>
<Properties xmlns="http://schemas.openxmlformats.org/officeDocument/2006/extended-properties" xmlns:vt="http://schemas.openxmlformats.org/officeDocument/2006/docPropsVTypes"/>
</file>

<file path=docProps/core.xml><?xml version="1.0" encoding="utf-8"?>
<cp:coreProperties xmlns:cp="http://schemas.openxmlformats.org/package/2006/metadata/core-properties" xmlns:dc="http://purl.org/dc/elements/1.1/" xmlns:dcterms="http://purl.org/dc/terms/" xmlns:xsi="http://www.w3.org/2001/XMLSchema-instance"/>
</file>